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555" windowWidth="15390" windowHeight="3480" tabRatio="895" activeTab="0"/>
  </bookViews>
  <sheets>
    <sheet name="Index" sheetId="1" r:id="rId1"/>
    <sheet name="1.Highlights" sheetId="2" r:id="rId2"/>
    <sheet name="2.PerShare" sheetId="3" r:id="rId3"/>
    <sheet name="3.NetInterest" sheetId="4" r:id="rId4"/>
    <sheet name="4.NonInterest" sheetId="5" r:id="rId5"/>
    <sheet name="5.Expenses" sheetId="6" r:id="rId6"/>
    <sheet name="6.Allowances" sheetId="7" r:id="rId7"/>
    <sheet name="7.Loans" sheetId="8" r:id="rId8"/>
    <sheet name="8.AFS" sheetId="9" r:id="rId9"/>
    <sheet name="9.Deposits" sheetId="10" r:id="rId10"/>
    <sheet name="10.NPL,Coverage ratios" sheetId="11" r:id="rId11"/>
    <sheet name="11.NPA" sheetId="12" r:id="rId12"/>
    <sheet name="12.CumulativeAllowances" sheetId="13" r:id="rId13"/>
    <sheet name="13.Capital" sheetId="14" r:id="rId14"/>
    <sheet name="14.Mix" sheetId="15" r:id="rId15"/>
    <sheet name="15.Consumer" sheetId="16" r:id="rId16"/>
    <sheet name="16.Institutional" sheetId="17" r:id="rId17"/>
    <sheet name="17.Treasury" sheetId="18" r:id="rId18"/>
    <sheet name="18.Others" sheetId="19" r:id="rId19"/>
    <sheet name="19.S'pore" sheetId="20" r:id="rId20"/>
    <sheet name="20.HK" sheetId="21" r:id="rId21"/>
    <sheet name="21.GreaterChina" sheetId="22" r:id="rId22"/>
    <sheet name="22.SSEA" sheetId="23" r:id="rId23"/>
    <sheet name="23.ROW" sheetId="24" r:id="rId24"/>
    <sheet name="24.P&amp;L" sheetId="25" r:id="rId25"/>
    <sheet name="25.BalSheet" sheetId="26" r:id="rId26"/>
    <sheet name="26.CashFlow" sheetId="27" r:id="rId27"/>
    <sheet name="27.Legend" sheetId="28" r:id="rId28"/>
  </sheets>
  <externalReferences>
    <externalReference r:id="rId31"/>
  </externalReferences>
  <definedNames>
    <definedName name="_xlnm.Print_Area" localSheetId="1">'1.Highlights'!$A$1:$AF$37</definedName>
    <definedName name="_xlnm.Print_Area" localSheetId="10">'10.NPL,Coverage ratios'!$R$1:$AF$21</definedName>
    <definedName name="_xlnm.Print_Area" localSheetId="11">'11.NPA'!$R$1:$AF$59</definedName>
    <definedName name="_xlnm.Print_Area" localSheetId="12">'12.CumulativeAllowances'!$R$1:$AF$53</definedName>
    <definedName name="_xlnm.Print_Area" localSheetId="13">'13.Capital'!$A$1:$AF$34</definedName>
    <definedName name="_xlnm.Print_Area" localSheetId="14">'14.Mix'!$A$1:$AE$41</definedName>
    <definedName name="_xlnm.Print_Area" localSheetId="15">'15.Consumer'!$A$1:$AF$18</definedName>
    <definedName name="_xlnm.Print_Area" localSheetId="16">'16.Institutional'!$A$1:$AF$18</definedName>
    <definedName name="_xlnm.Print_Area" localSheetId="17">'17.Treasury'!$A$1:$AF$18</definedName>
    <definedName name="_xlnm.Print_Area" localSheetId="18">'18.Others'!$A$1:$AF$18</definedName>
    <definedName name="_xlnm.Print_Area" localSheetId="19">'19.S''pore'!$A$1:$AF$17</definedName>
    <definedName name="_xlnm.Print_Area" localSheetId="2">'2.PerShare'!$A$1:$AF$37</definedName>
    <definedName name="_xlnm.Print_Area" localSheetId="20">'20.HK'!$A$1:$AF$17</definedName>
    <definedName name="_xlnm.Print_Area" localSheetId="21">'21.GreaterChina'!$A$1:$AF$17</definedName>
    <definedName name="_xlnm.Print_Area" localSheetId="22">'22.SSEA'!$A$1:$AF$17</definedName>
    <definedName name="_xlnm.Print_Area" localSheetId="23">'23.ROW'!$A$1:$AF$17</definedName>
    <definedName name="_xlnm.Print_Area" localSheetId="24">'24.P&amp;L'!$A$1:$L$67</definedName>
    <definedName name="_xlnm.Print_Area" localSheetId="25">'25.BalSheet'!$A$1:$K$70</definedName>
    <definedName name="_xlnm.Print_Area" localSheetId="26">'26.CashFlow'!$A$1:$E$71</definedName>
    <definedName name="_xlnm.Print_Area" localSheetId="3">'3.NetInterest'!$A$1:$AF$31</definedName>
    <definedName name="_xlnm.Print_Area" localSheetId="4">'4.NonInterest'!$A$1:$AF$24</definedName>
    <definedName name="_xlnm.Print_Area" localSheetId="5">'5.Expenses'!$A$1:$AF$17</definedName>
    <definedName name="_xlnm.Print_Area" localSheetId="6">'6.Allowances'!$A$1:$AF$23</definedName>
    <definedName name="_xlnm.Print_Area" localSheetId="7">'7.Loans'!$R$1:$AF$35</definedName>
    <definedName name="_xlnm.Print_Area" localSheetId="8">'8.AFS'!$A$1:$AF$17</definedName>
    <definedName name="_xlnm.Print_Area" localSheetId="9">'9.Deposits'!$A$1:$AF$25</definedName>
    <definedName name="_xlnm.Print_Area" localSheetId="0">'Index'!$A$1:$M$48</definedName>
    <definedName name="_xlnm.Print_Titles" localSheetId="10">'10.NPL,Coverage ratios'!$A:$C</definedName>
    <definedName name="_xlnm.Print_Titles" localSheetId="11">'11.NPA'!$A:$C</definedName>
    <definedName name="_xlnm.Print_Titles" localSheetId="12">'12.CumulativeAllowances'!$A:$C</definedName>
    <definedName name="_xlnm.Print_Titles" localSheetId="7">'7.Loans'!$A:$C,'7.Loans'!$1:$4</definedName>
  </definedNames>
  <calcPr fullCalcOnLoad="1"/>
</workbook>
</file>

<file path=xl/sharedStrings.xml><?xml version="1.0" encoding="utf-8"?>
<sst xmlns="http://schemas.openxmlformats.org/spreadsheetml/2006/main" count="1430" uniqueCount="437">
  <si>
    <t>Expenses</t>
  </si>
  <si>
    <t>Page</t>
  </si>
  <si>
    <t>1Q09</t>
  </si>
  <si>
    <t>2Q09</t>
  </si>
  <si>
    <t>3Q09</t>
  </si>
  <si>
    <t>Net interest income</t>
  </si>
  <si>
    <t>Total income</t>
  </si>
  <si>
    <t>Profit before allowances</t>
  </si>
  <si>
    <t>Allowances for credit and other losses</t>
  </si>
  <si>
    <t>Profit before tax</t>
  </si>
  <si>
    <t>Total assets</t>
  </si>
  <si>
    <t>Total liabilities</t>
  </si>
  <si>
    <t>Shareholders’ funds</t>
  </si>
  <si>
    <t>Non-interest/total income</t>
  </si>
  <si>
    <t xml:space="preserve">Cost/income ratio </t>
  </si>
  <si>
    <t>NPL ratio</t>
  </si>
  <si>
    <t>Interest-bearing assets</t>
  </si>
  <si>
    <t>Customer loans</t>
  </si>
  <si>
    <t>Interbank assets</t>
  </si>
  <si>
    <t>Securities</t>
  </si>
  <si>
    <t>Interest-bearing liabilities</t>
  </si>
  <si>
    <t>Customer deposits</t>
  </si>
  <si>
    <t>Other borrowings</t>
  </si>
  <si>
    <t>Interest income</t>
  </si>
  <si>
    <t>Interest expense</t>
  </si>
  <si>
    <t>Non-interest income</t>
  </si>
  <si>
    <t>Other income</t>
  </si>
  <si>
    <t>One-time items</t>
  </si>
  <si>
    <t>Average rates (%)</t>
  </si>
  <si>
    <t>Average balances (S$m)</t>
  </si>
  <si>
    <t>Stockbroking</t>
  </si>
  <si>
    <t>Investment banking</t>
  </si>
  <si>
    <t>Loan related</t>
  </si>
  <si>
    <t>Credit card</t>
  </si>
  <si>
    <t>Wealth management</t>
  </si>
  <si>
    <t>Others</t>
  </si>
  <si>
    <t>Trading income</t>
  </si>
  <si>
    <t>Financial instruments designated at fair value</t>
  </si>
  <si>
    <t>Net gain on fixed assets</t>
  </si>
  <si>
    <t>Others (including rental income)</t>
  </si>
  <si>
    <t>Staff expenses</t>
  </si>
  <si>
    <t>Other expenses</t>
  </si>
  <si>
    <t xml:space="preserve">Occupancy </t>
  </si>
  <si>
    <t xml:space="preserve">Computerisation </t>
  </si>
  <si>
    <t xml:space="preserve">Revenue-related </t>
  </si>
  <si>
    <t xml:space="preserve">Others </t>
  </si>
  <si>
    <t>Asset yield</t>
  </si>
  <si>
    <t>Funding cost</t>
  </si>
  <si>
    <t>Singapore</t>
  </si>
  <si>
    <t>Hong Kong</t>
  </si>
  <si>
    <t>General allowances</t>
  </si>
  <si>
    <t>Performance highlights</t>
  </si>
  <si>
    <t>Net book value</t>
  </si>
  <si>
    <t>Net profit</t>
  </si>
  <si>
    <t>Excluding one-time items</t>
  </si>
  <si>
    <t>Including one-time items</t>
  </si>
  <si>
    <t>Basic</t>
  </si>
  <si>
    <t>Diluted</t>
  </si>
  <si>
    <t>Ordinary shareholders' funds (S$m)</t>
  </si>
  <si>
    <t>Dividend</t>
  </si>
  <si>
    <t>FY08</t>
  </si>
  <si>
    <t>Consolidated results</t>
  </si>
  <si>
    <t>Business segments</t>
  </si>
  <si>
    <t>Geographic segments</t>
  </si>
  <si>
    <t>Upgrades</t>
  </si>
  <si>
    <t>Settlements</t>
  </si>
  <si>
    <t>Recoveries</t>
  </si>
  <si>
    <t>Share of profits of associates</t>
  </si>
  <si>
    <t>Income tax expense</t>
  </si>
  <si>
    <t>Capital expenditure</t>
  </si>
  <si>
    <t>Depreciation</t>
  </si>
  <si>
    <t>Gross customer loans</t>
  </si>
  <si>
    <t>Total assets (before goodwill)</t>
  </si>
  <si>
    <t>Rest of Greater China</t>
  </si>
  <si>
    <t>South and South-east Asia</t>
  </si>
  <si>
    <t>Rest of World</t>
  </si>
  <si>
    <t xml:space="preserve">Rest of Greater China </t>
  </si>
  <si>
    <t>Rest of the World</t>
  </si>
  <si>
    <t>Debt securities</t>
  </si>
  <si>
    <t>Contingent liabilities &amp; others</t>
  </si>
  <si>
    <t>Back to Index</t>
  </si>
  <si>
    <t>By geography</t>
  </si>
  <si>
    <t>By business unit</t>
  </si>
  <si>
    <t>Manufacturing</t>
  </si>
  <si>
    <t>Building and construction</t>
  </si>
  <si>
    <t>Housing loans</t>
  </si>
  <si>
    <t>General commerce</t>
  </si>
  <si>
    <t>Transportation, storage &amp; communications</t>
  </si>
  <si>
    <t>Financial institutions, investment &amp; holding companies</t>
  </si>
  <si>
    <t>By industry</t>
  </si>
  <si>
    <t>Professionals &amp; private individuals</t>
  </si>
  <si>
    <t>Net fee income</t>
  </si>
  <si>
    <t>Ordinary share data</t>
  </si>
  <si>
    <t>South and South-East Asia</t>
  </si>
  <si>
    <t>Less:</t>
  </si>
  <si>
    <t>Specific allowances</t>
  </si>
  <si>
    <t>Rest of the world</t>
  </si>
  <si>
    <t>Singapore dollar</t>
  </si>
  <si>
    <t>Hong Kong dollar</t>
  </si>
  <si>
    <t>US dollar</t>
  </si>
  <si>
    <t>Unsecured</t>
  </si>
  <si>
    <t>Non-performing assets</t>
  </si>
  <si>
    <t>Other data</t>
  </si>
  <si>
    <t>Income statement items (S$m)</t>
  </si>
  <si>
    <t>Balance sheet items (S$m)</t>
  </si>
  <si>
    <t>Depreciation of fixed assets (included in above items) (S$m)</t>
  </si>
  <si>
    <t>Total allowances</t>
  </si>
  <si>
    <t>Loss allowance coverage ratios (%)</t>
  </si>
  <si>
    <t>Balance sheet &amp; other items (S$m)</t>
  </si>
  <si>
    <t>Fixed deposits</t>
  </si>
  <si>
    <t>Savings accounts</t>
  </si>
  <si>
    <t>Current accounts</t>
  </si>
  <si>
    <t>Add: New NPAs</t>
  </si>
  <si>
    <t>Less: Write-offs</t>
  </si>
  <si>
    <t>Less: Net recoveries of existing NPAs</t>
  </si>
  <si>
    <t>NPAs at start of period</t>
  </si>
  <si>
    <t>NPAs at end of period</t>
  </si>
  <si>
    <t>Capital adequacy</t>
  </si>
  <si>
    <t>Tier 1</t>
  </si>
  <si>
    <t>Share capital</t>
  </si>
  <si>
    <t>Disclosed reserves and others</t>
  </si>
  <si>
    <t>Tier 2</t>
  </si>
  <si>
    <t>Loan allowances admitted as Tier 2</t>
  </si>
  <si>
    <t>Subordinated debts</t>
  </si>
  <si>
    <t>Revaluation surplus from equity securities</t>
  </si>
  <si>
    <t>Total eligible capital</t>
  </si>
  <si>
    <t>Tier 1 ratio</t>
  </si>
  <si>
    <t>Tier 2 ratio</t>
  </si>
  <si>
    <t>Total (Tier 1 &amp; 2) ratio</t>
  </si>
  <si>
    <t>Business mix</t>
  </si>
  <si>
    <t>Institutional banking</t>
  </si>
  <si>
    <t>Total income (as % of Group)</t>
  </si>
  <si>
    <t>Net profit (as % of Group)</t>
  </si>
  <si>
    <t>Total assets before goodwill (as % of Group)</t>
  </si>
  <si>
    <t>AFS reserve at end of period</t>
  </si>
  <si>
    <t>Available-for-sale portfolio</t>
  </si>
  <si>
    <t>Singapore government securities</t>
  </si>
  <si>
    <t>Other government securities</t>
  </si>
  <si>
    <t>Corporate debt securities</t>
  </si>
  <si>
    <t>Equities</t>
  </si>
  <si>
    <t>Less write-backs for:</t>
  </si>
  <si>
    <t>Add charges for:</t>
  </si>
  <si>
    <t>Movement in AFS reserves (S$m)</t>
  </si>
  <si>
    <t>Net interest income, average balances and rates</t>
  </si>
  <si>
    <t>Available-for-sale assets</t>
  </si>
  <si>
    <t>Segment results</t>
  </si>
  <si>
    <t>Earnings excluding one-time items (annualised)</t>
  </si>
  <si>
    <t>Earnings including one-time items (annualised)</t>
  </si>
  <si>
    <t>By classification</t>
  </si>
  <si>
    <t>Substandard</t>
  </si>
  <si>
    <t>Doubtful</t>
  </si>
  <si>
    <t>Loss</t>
  </si>
  <si>
    <t>By collateral type</t>
  </si>
  <si>
    <t>Secured by properties</t>
  </si>
  <si>
    <t>Secured by shares and debentures</t>
  </si>
  <si>
    <t>Secured by fixed deposits</t>
  </si>
  <si>
    <t>Other secured</t>
  </si>
  <si>
    <t>Total NPAs</t>
  </si>
  <si>
    <t>NPLs</t>
  </si>
  <si>
    <t>Other NPAs</t>
  </si>
  <si>
    <t>By period overdue</t>
  </si>
  <si>
    <t>Not overdue</t>
  </si>
  <si>
    <t>&lt;90 days overdue</t>
  </si>
  <si>
    <t>91-180 days overdue</t>
  </si>
  <si>
    <t>&gt;180 days overdue</t>
  </si>
  <si>
    <t>Specific allowances for NPAs</t>
  </si>
  <si>
    <t>Specific allowances for NPLs</t>
  </si>
  <si>
    <r>
      <t>NPA</t>
    </r>
    <r>
      <rPr>
        <sz val="11"/>
        <rFont val="Arial"/>
        <family val="2"/>
      </rPr>
      <t xml:space="preserve"> - Non-performing asset</t>
    </r>
  </si>
  <si>
    <r>
      <t>NPL</t>
    </r>
    <r>
      <rPr>
        <sz val="11"/>
        <rFont val="Arial"/>
        <family val="2"/>
      </rPr>
      <t xml:space="preserve"> - Non-performing loan</t>
    </r>
  </si>
  <si>
    <r>
      <t>SP</t>
    </r>
    <r>
      <rPr>
        <sz val="11"/>
        <rFont val="Arial"/>
        <family val="2"/>
      </rPr>
      <t xml:space="preserve"> - Specific allowance</t>
    </r>
  </si>
  <si>
    <r>
      <t>GP</t>
    </r>
    <r>
      <rPr>
        <sz val="11"/>
        <rFont val="Arial"/>
        <family val="2"/>
      </rPr>
      <t xml:space="preserve"> - General allowance</t>
    </r>
  </si>
  <si>
    <r>
      <t>CAR</t>
    </r>
    <r>
      <rPr>
        <sz val="11"/>
        <rFont val="Arial"/>
        <family val="2"/>
      </rPr>
      <t xml:space="preserve"> - Capital adequacy ratio</t>
    </r>
  </si>
  <si>
    <t>Legend of terms used</t>
  </si>
  <si>
    <t>NIM</t>
  </si>
  <si>
    <t>ROA</t>
  </si>
  <si>
    <t>ROE</t>
  </si>
  <si>
    <t>LDR</t>
  </si>
  <si>
    <r>
      <t>NIM</t>
    </r>
    <r>
      <rPr>
        <sz val="11"/>
        <rFont val="Arial"/>
        <family val="2"/>
      </rPr>
      <t xml:space="preserve"> - Net interest margin</t>
    </r>
  </si>
  <si>
    <r>
      <t>ROA</t>
    </r>
    <r>
      <rPr>
        <sz val="11"/>
        <rFont val="Arial"/>
        <family val="2"/>
      </rPr>
      <t xml:space="preserve"> - Return on assets</t>
    </r>
  </si>
  <si>
    <r>
      <t>ROE</t>
    </r>
    <r>
      <rPr>
        <sz val="11"/>
        <rFont val="Arial"/>
        <family val="2"/>
      </rPr>
      <t xml:space="preserve"> - Return on shareholders' funds</t>
    </r>
  </si>
  <si>
    <r>
      <t>LDR</t>
    </r>
    <r>
      <rPr>
        <sz val="11"/>
        <rFont val="Arial"/>
        <family val="2"/>
      </rPr>
      <t xml:space="preserve"> - Loan-to-deposit ratio</t>
    </r>
  </si>
  <si>
    <t>Tier 1 CAR</t>
  </si>
  <si>
    <t>Total CAR</t>
  </si>
  <si>
    <t>SP for loans/average loans (bp)</t>
  </si>
  <si>
    <r>
      <t>VaR</t>
    </r>
    <r>
      <rPr>
        <sz val="11"/>
        <rFont val="Arial"/>
        <family val="2"/>
      </rPr>
      <t xml:space="preserve"> - Value at risk</t>
    </r>
  </si>
  <si>
    <t>GP</t>
  </si>
  <si>
    <t>SP for loans</t>
  </si>
  <si>
    <t>SP for other assets</t>
  </si>
  <si>
    <t>New NPLs</t>
  </si>
  <si>
    <t>Existing NPLs</t>
  </si>
  <si>
    <t>Movement in SP for loans (S$m)</t>
  </si>
  <si>
    <t>Basic (average)</t>
  </si>
  <si>
    <t>Diluted (average)</t>
  </si>
  <si>
    <t>Basic (EOP)</t>
  </si>
  <si>
    <t>Diluted (EOP)</t>
  </si>
  <si>
    <r>
      <t>EOP</t>
    </r>
    <r>
      <rPr>
        <sz val="11"/>
        <rFont val="Arial"/>
        <family val="2"/>
      </rPr>
      <t xml:space="preserve"> - End of period</t>
    </r>
  </si>
  <si>
    <t>Cumulative SP</t>
  </si>
  <si>
    <t>Cumulative GP</t>
  </si>
  <si>
    <r>
      <t>AFS</t>
    </r>
    <r>
      <rPr>
        <sz val="11"/>
        <rFont val="Arial"/>
        <family val="2"/>
      </rPr>
      <t xml:space="preserve"> - Available-for-sale</t>
    </r>
  </si>
  <si>
    <t>AFS investments</t>
  </si>
  <si>
    <t>Breakdown of NPAs (S$m)</t>
  </si>
  <si>
    <t>Restructured NPAs</t>
  </si>
  <si>
    <t>Breakdown of NPLs (S$m)</t>
  </si>
  <si>
    <t>Group</t>
  </si>
  <si>
    <t>NPL and allowance coverage ratios</t>
  </si>
  <si>
    <t>Total allowances for NPAs / NPAs</t>
  </si>
  <si>
    <t>Total allowances for NPLs / NPLs</t>
  </si>
  <si>
    <t>Total allowances for NPLs / unsecured NPLs</t>
  </si>
  <si>
    <t>Cumulative loss allowances</t>
  </si>
  <si>
    <t>Total allowances for NPAs</t>
  </si>
  <si>
    <t>Breakdown of specific allowances (S$m)</t>
  </si>
  <si>
    <t>Breakdown of general allowances (S$m)</t>
  </si>
  <si>
    <t>Specific allowances for other NPAs</t>
  </si>
  <si>
    <t>General allowances for NPAs</t>
  </si>
  <si>
    <t>General allowances for NPLs</t>
  </si>
  <si>
    <t>General allowances for other NPAs</t>
  </si>
  <si>
    <t>Movement in NPAs (S$m)</t>
  </si>
  <si>
    <t>EOP value (S$m)</t>
  </si>
  <si>
    <t>Gross loans</t>
  </si>
  <si>
    <t>Net loans</t>
  </si>
  <si>
    <t>Breakdown of gross customer loans (S$m)</t>
  </si>
  <si>
    <t>Breakdown of customer deposits (S$m)</t>
  </si>
  <si>
    <t>NPL ratios (NPLs as % of loans)</t>
  </si>
  <si>
    <t>Breakdown of total allowances (S$m)</t>
  </si>
  <si>
    <t>Capital and RWA (S$m)</t>
  </si>
  <si>
    <t>RWA</t>
  </si>
  <si>
    <t>CAR (%)</t>
  </si>
  <si>
    <r>
      <t>RWA</t>
    </r>
    <r>
      <rPr>
        <sz val="11"/>
        <rFont val="Arial"/>
        <family val="2"/>
      </rPr>
      <t xml:space="preserve"> - Risk-weighted assets</t>
    </r>
  </si>
  <si>
    <t>Business and geographical mix</t>
  </si>
  <si>
    <t>Non-performing loan and coverage ratios</t>
  </si>
  <si>
    <t>4Q09</t>
  </si>
  <si>
    <t>FY09</t>
  </si>
  <si>
    <t>Number of shares ('m)</t>
  </si>
  <si>
    <t>Directors' fees (included in above items) (S$m)</t>
  </si>
  <si>
    <t>Audit fees payable (included in above items) (S$m)</t>
  </si>
  <si>
    <t>Total allowances for NPAs / unsecured NPAs</t>
  </si>
  <si>
    <t>-</t>
  </si>
  <si>
    <t>Preference dividends (S$m)</t>
  </si>
  <si>
    <t>In $ millions</t>
  </si>
  <si>
    <t>+/(-)</t>
  </si>
  <si>
    <t>%</t>
  </si>
  <si>
    <t>Income</t>
  </si>
  <si>
    <t>Net fee and commission income</t>
  </si>
  <si>
    <t>Net income from financial investments</t>
  </si>
  <si>
    <t>Employee benefits</t>
  </si>
  <si>
    <t>Depreciation of properties and other fixed assets</t>
  </si>
  <si>
    <t xml:space="preserve">Other expenses  </t>
  </si>
  <si>
    <t xml:space="preserve">Total expenses </t>
  </si>
  <si>
    <t>Attributable to:</t>
  </si>
  <si>
    <t xml:space="preserve">   Shareholders</t>
  </si>
  <si>
    <t>Other comprehensive income:</t>
  </si>
  <si>
    <t>Foreign currency translation differences for foreign operations</t>
  </si>
  <si>
    <t>Share of other comprehensive income of associates</t>
  </si>
  <si>
    <t xml:space="preserve">    Net valuation taken to equity</t>
  </si>
  <si>
    <t>Tax on items taken directly to or transferred from equity</t>
  </si>
  <si>
    <t>Other comprehensive income, net of tax</t>
  </si>
  <si>
    <t xml:space="preserve">Total comprehensive income </t>
  </si>
  <si>
    <t>GROUP</t>
  </si>
  <si>
    <t>COMPANY</t>
  </si>
  <si>
    <t>ASSETS</t>
  </si>
  <si>
    <t>Cash and balances with central banks</t>
  </si>
  <si>
    <t>Singapore Government securities and treasury bills</t>
  </si>
  <si>
    <t>Due from banks</t>
  </si>
  <si>
    <t>Positive fair values for financial derivatives</t>
  </si>
  <si>
    <t xml:space="preserve">Loans and advances to customers </t>
  </si>
  <si>
    <t>Financial investments</t>
  </si>
  <si>
    <t>Subsidiaries</t>
  </si>
  <si>
    <t>Investments in associates</t>
  </si>
  <si>
    <t>Goodwill on consolidation</t>
  </si>
  <si>
    <t>Properties and other fixed assets</t>
  </si>
  <si>
    <t>Investment properties</t>
  </si>
  <si>
    <t>Deferred tax assets</t>
  </si>
  <si>
    <t>Other assets</t>
  </si>
  <si>
    <t>TOTAL ASSETS</t>
  </si>
  <si>
    <t>LIABILITIES</t>
  </si>
  <si>
    <t xml:space="preserve">Due to banks  </t>
  </si>
  <si>
    <t>Due to non-bank customers</t>
  </si>
  <si>
    <t>Negative fair values for financial derivatives</t>
  </si>
  <si>
    <t>Bills payable</t>
  </si>
  <si>
    <t>Current tax liabilities</t>
  </si>
  <si>
    <t>Deferred tax liabilities</t>
  </si>
  <si>
    <t>Other liabilities</t>
  </si>
  <si>
    <t xml:space="preserve">Other debt securities in issue </t>
  </si>
  <si>
    <t xml:space="preserve">Subordinated term debts </t>
  </si>
  <si>
    <t xml:space="preserve">TOTAL LIABILITIES </t>
  </si>
  <si>
    <t>NET ASSETS</t>
  </si>
  <si>
    <t>EQUITY</t>
  </si>
  <si>
    <t>Treasury shares</t>
  </si>
  <si>
    <t>Other reserves</t>
  </si>
  <si>
    <t>Revenue reserves</t>
  </si>
  <si>
    <t>SHAREHOLDERS’ FUNDS</t>
  </si>
  <si>
    <t>TOTAL EQUITY</t>
  </si>
  <si>
    <t>OFF BALANCE SHEET ITEMS</t>
  </si>
  <si>
    <t>Financial derivatives</t>
  </si>
  <si>
    <t xml:space="preserve">In $ millions  </t>
  </si>
  <si>
    <t>Cash flows from operating activities</t>
  </si>
  <si>
    <t>Adjustments for non-cash items:</t>
  </si>
  <si>
    <t>Profit before changes in operating assets &amp; liabilities</t>
  </si>
  <si>
    <t>Increase/(Decrease) in:</t>
  </si>
  <si>
    <t>Due to banks</t>
  </si>
  <si>
    <t>Financial liabilities at fair value through profit or loss</t>
  </si>
  <si>
    <t>Other liabilities including bills payable</t>
  </si>
  <si>
    <t>Debt securities and borrowings</t>
  </si>
  <si>
    <t>(Increase)/Decrease in:</t>
  </si>
  <si>
    <t>Financial assets at fair value through profit or loss</t>
  </si>
  <si>
    <t>Loans and advances to customers</t>
  </si>
  <si>
    <t>Tax paid</t>
  </si>
  <si>
    <t>Cash flows from investing activities</t>
  </si>
  <si>
    <t>Dividends from associates</t>
  </si>
  <si>
    <t>Purchase of properties and other fixed assets</t>
  </si>
  <si>
    <t>Proceeds from disposal of properties and other fixed assets</t>
  </si>
  <si>
    <t>Cash flows from financing activities</t>
  </si>
  <si>
    <t>Exchange translation adjustments (4)</t>
  </si>
  <si>
    <t>Net change in cash and cash equivalents (1)+(2)+(3)+(4)</t>
  </si>
  <si>
    <t xml:space="preserve">Cash and cash equivalents at 1 January </t>
  </si>
  <si>
    <t>Ratios (%) (excluding one-time items)</t>
  </si>
  <si>
    <t>Data used in earnings per share calculations</t>
  </si>
  <si>
    <t>Data used in net book value per share calculations</t>
  </si>
  <si>
    <t>Per basic share (S$) *</t>
  </si>
  <si>
    <t>Per diluted share (S$) *</t>
  </si>
  <si>
    <t>Net profit (before preference dividends) (S$m)</t>
  </si>
  <si>
    <t>Number of shares (excluding treasury shares) ('m)</t>
  </si>
  <si>
    <t>Net trading income</t>
  </si>
  <si>
    <t>Staff headcount (EOP)</t>
  </si>
  <si>
    <t>AFS reserve at start of period</t>
  </si>
  <si>
    <t>Net valuation taken to equity</t>
  </si>
  <si>
    <t xml:space="preserve">Tier 1 Deductions </t>
  </si>
  <si>
    <t>Tier 2 Deductions</t>
  </si>
  <si>
    <t>Consolidated income statement</t>
  </si>
  <si>
    <t>Consolidated balance sheet</t>
  </si>
  <si>
    <t>Consolidated cash flow statement</t>
  </si>
  <si>
    <t>1Q10</t>
  </si>
  <si>
    <t>Institutional Banking</t>
  </si>
  <si>
    <t>Treasury</t>
  </si>
  <si>
    <t>*</t>
  </si>
  <si>
    <t>2Q10</t>
  </si>
  <si>
    <r>
      <t xml:space="preserve">OTHER INFORMATION </t>
    </r>
    <r>
      <rPr>
        <b/>
        <sz val="11"/>
        <color indexed="8"/>
        <rFont val="Arial"/>
        <family val="2"/>
      </rPr>
      <t xml:space="preserve"> </t>
    </r>
  </si>
  <si>
    <t>Dividends paid to shareholders of the Company</t>
  </si>
  <si>
    <t>Goodwill charges</t>
  </si>
  <si>
    <t>Payment upon maturity of subordinated term debts</t>
  </si>
  <si>
    <t>Commitments</t>
  </si>
  <si>
    <t>Contingent liabilities</t>
  </si>
  <si>
    <t>3Q10</t>
  </si>
  <si>
    <t>Other non-interest income</t>
  </si>
  <si>
    <t xml:space="preserve">Net profit </t>
  </si>
  <si>
    <t>Net profit/(loss) including goodwill charges and one-time items</t>
  </si>
  <si>
    <t>4Q10</t>
  </si>
  <si>
    <t>FY10</t>
  </si>
  <si>
    <t>Per share data are adjusted for the rights issue announced on 22-Dec-08. An adjustment factor of 0.85 was applied based on the one-for-two entitlement and subscription price of $5.42 per rights share (a discount of approximately 45% to the pre-announcement closing price). A total of 760m rights shares were issued to raise $4.0 billion.</t>
  </si>
  <si>
    <t>By currency</t>
  </si>
  <si>
    <t>1Q11</t>
  </si>
  <si>
    <t xml:space="preserve">Unaudited Consolidated Statement of Comprehensive Income </t>
  </si>
  <si>
    <t>Payment upon redemption of preference shares</t>
  </si>
  <si>
    <t>Profit</t>
  </si>
  <si>
    <t xml:space="preserve">Profit before tax </t>
  </si>
  <si>
    <t>2Q11</t>
  </si>
  <si>
    <r>
      <t xml:space="preserve">   </t>
    </r>
    <r>
      <rPr>
        <sz val="11"/>
        <rFont val="Arial"/>
        <family val="2"/>
      </rPr>
      <t>Non-controlling interests</t>
    </r>
  </si>
  <si>
    <t xml:space="preserve">Non-controlling interests  </t>
  </si>
  <si>
    <t>Dividends paid to non-controlling interests</t>
  </si>
  <si>
    <t>did not show this PL line from Q2'11 onwards</t>
  </si>
  <si>
    <t>3Q11</t>
  </si>
  <si>
    <t>Cash flow hedge reserve at start of period</t>
  </si>
  <si>
    <t>Cash flow hedge reserve at end of period</t>
  </si>
  <si>
    <t>Cash flow hedges</t>
  </si>
  <si>
    <t>Change in non-controlling interest</t>
  </si>
  <si>
    <t>4Q11</t>
  </si>
  <si>
    <t>FY11</t>
  </si>
  <si>
    <t>1Q12</t>
  </si>
  <si>
    <t>Fee and commission income</t>
  </si>
  <si>
    <t>Less: fee and commission expense</t>
  </si>
  <si>
    <t>Issue of subordinated term debts</t>
  </si>
  <si>
    <t>Net loss from financial instruments designated at fair value</t>
  </si>
  <si>
    <t>(i) Basic</t>
  </si>
  <si>
    <t>(ii) Diluted</t>
  </si>
  <si>
    <t xml:space="preserve">By business unit </t>
  </si>
  <si>
    <t xml:space="preserve">By geography </t>
  </si>
  <si>
    <t>Net gain on disposal (net of write-off) of properties and other fixed assets</t>
  </si>
  <si>
    <t>Share of associates' reserve</t>
  </si>
  <si>
    <t xml:space="preserve">    Transferred to income statement </t>
  </si>
  <si>
    <t xml:space="preserve">Transferred to income statement </t>
  </si>
  <si>
    <t>2Q12</t>
  </si>
  <si>
    <t>Available-for-sale financial assets</t>
  </si>
  <si>
    <t>Consumer Banking/ Wealth Management</t>
  </si>
  <si>
    <t>Restricted balances with central banks</t>
  </si>
  <si>
    <t>Net cash generated from/(used in) investing activities (2)</t>
  </si>
  <si>
    <t>Net cash used in financing activities (3)</t>
  </si>
  <si>
    <t xml:space="preserve">Increase in share capital </t>
  </si>
  <si>
    <t>3Q12</t>
  </si>
  <si>
    <t>Net gain on disposal of subsidiary</t>
  </si>
  <si>
    <t>1st Qtr 2012</t>
  </si>
  <si>
    <t>Interbank liabilities</t>
  </si>
  <si>
    <t>Consumer Banking/Wealth Management</t>
  </si>
  <si>
    <t>FY12</t>
  </si>
  <si>
    <t>FY12
vs 
FY11</t>
  </si>
  <si>
    <t>4Q12</t>
  </si>
  <si>
    <t>4th Qtr 2012</t>
  </si>
  <si>
    <t>Purchase of treasury shares</t>
  </si>
  <si>
    <t>Cash and cash equivalents at 31 December</t>
  </si>
  <si>
    <t>2nd Qtr 2012</t>
  </si>
  <si>
    <t>Net gain on disposal of associate</t>
  </si>
  <si>
    <t>Acquisition of interest in subsidiary</t>
  </si>
  <si>
    <t>Year 2012</t>
  </si>
  <si>
    <t>Year 2011</t>
  </si>
  <si>
    <t>Securities pledged and transferred</t>
  </si>
  <si>
    <t>Acquisition of interest in associates</t>
  </si>
  <si>
    <t>Disposal of interest in associates</t>
  </si>
  <si>
    <t>Net cash used in operating activities (1)</t>
  </si>
  <si>
    <t>Financial Data Supplement for the First Quarter ended 31 Mar 2013</t>
  </si>
  <si>
    <t>1Q13</t>
  </si>
  <si>
    <t>1Q13
vs 
4Q12</t>
  </si>
  <si>
    <t>1Q13
vs 
1Q12</t>
  </si>
  <si>
    <t xml:space="preserve">1st Qtr </t>
  </si>
  <si>
    <t>1st Qtr 2013</t>
  </si>
  <si>
    <t>Net book value per share ($)</t>
  </si>
  <si>
    <t>Net profit for the period</t>
  </si>
  <si>
    <t>Trade and transaction services</t>
  </si>
  <si>
    <t>Share Capital</t>
  </si>
  <si>
    <t>Regulatory adjustments due to insufficient AT1 capital</t>
  </si>
  <si>
    <t>CET 1</t>
  </si>
  <si>
    <t>AT1 Capital Instruments</t>
  </si>
  <si>
    <t>Total regulatory adjustments to AT1 capital</t>
  </si>
  <si>
    <t>Tier 1 capital</t>
  </si>
  <si>
    <t>Provisions</t>
  </si>
  <si>
    <t>Tier 2 capital instruments</t>
  </si>
  <si>
    <t>Total regulatory adjustments to Tier 2 capital</t>
  </si>
  <si>
    <t xml:space="preserve">Total capital </t>
  </si>
  <si>
    <t>Risk-weighted assets</t>
  </si>
  <si>
    <t>Capital Adequacy Ratio (“CAR”) (%)</t>
  </si>
  <si>
    <t>Total</t>
  </si>
  <si>
    <t>Pro forma CET1 under final rules effective 1 Jan 2018</t>
  </si>
  <si>
    <t>NA</t>
  </si>
  <si>
    <t>Note</t>
  </si>
  <si>
    <t>Note:</t>
  </si>
  <si>
    <t>From 1 January 2013, DBS Vickers Securities, which provides equities and derivatives brokerage services, has been classified under the "Others" segment. Historical figures in 2012 have been reclassified accordingly.</t>
  </si>
  <si>
    <t>Breakdown for fee and commission income by categories were on a net basis from 2008 to 2010.</t>
  </si>
  <si>
    <t>With effect from 1 Jan 2013, certain loans to investment holding companies have been reclassified to better reflect the underlying principal activity of the companies owned by the holding company. The amounts for 2012 have also been reclassified to conform to the current presentation.</t>
  </si>
  <si>
    <t>From 1 Jan 2013, DBS Vickers Securities, which provides equities and derivative brokerage services, has been classified under the "Others" segment. 2012 figures have been reclassified accordingly.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</si>
</sst>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_);\(#,##0.0\)"/>
    <numFmt numFmtId="177" formatCode="_(* #,##0.0_);_(* \(#,##0.0\);_(* &quot;-&quot;??_);_(@_)"/>
    <numFmt numFmtId="178" formatCode="_(* #,##0_);_(* \(#,##0\);_(* &quot;-&quot;??_);_(@_)"/>
    <numFmt numFmtId="179" formatCode="#,##0.000_);\(#,##0.000\)"/>
    <numFmt numFmtId="180" formatCode="#,##0.0000_);\(#,##0.0000\)"/>
    <numFmt numFmtId="181" formatCode="[$-409]dddd\,\ mmmm\ dd\,\ yyyy"/>
    <numFmt numFmtId="182" formatCode="[$-409]d\-mmm;@"/>
    <numFmt numFmtId="183" formatCode="0.0"/>
    <numFmt numFmtId="184" formatCode="_(* #,##0.0_);_(* \(#,##0.0\);_(* &quot;-&quot;?_);_(@_)"/>
    <numFmt numFmtId="185" formatCode="0_);\(0\)"/>
    <numFmt numFmtId="186" formatCode="0.000"/>
    <numFmt numFmtId="187" formatCode="0.0000"/>
    <numFmt numFmtId="188" formatCode="0.00000"/>
    <numFmt numFmtId="189" formatCode="0.000000"/>
    <numFmt numFmtId="190" formatCode="_(* #,##0.000_);_(* \(#,##0.000\);_(* &quot;-&quot;??_);_(@_)"/>
    <numFmt numFmtId="191" formatCode="_(* #,##0.0000_);_(* \(#,##0.0000\);_(* &quot;-&quot;??_);_(@_)"/>
    <numFmt numFmtId="192" formatCode="\-"/>
    <numFmt numFmtId="193" formatCode="0.0_);\(0.0\)"/>
  </numFmts>
  <fonts count="69">
    <font>
      <sz val="10"/>
      <name val="Arial"/>
      <family val="0"/>
    </font>
    <font>
      <sz val="8"/>
      <name val="Arial"/>
      <family val="2"/>
    </font>
    <font>
      <b/>
      <sz val="16"/>
      <color indexed="8"/>
      <name val="Arial"/>
      <family val="2"/>
    </font>
    <font>
      <sz val="11"/>
      <name val="Arial"/>
      <family val="2"/>
    </font>
    <font>
      <b/>
      <sz val="11"/>
      <name val="Arial"/>
      <family val="2"/>
    </font>
    <font>
      <b/>
      <sz val="11"/>
      <color indexed="8"/>
      <name val="Arial"/>
      <family val="2"/>
    </font>
    <font>
      <u val="single"/>
      <sz val="10"/>
      <color indexed="12"/>
      <name val="Arial"/>
      <family val="2"/>
    </font>
    <font>
      <u val="single"/>
      <sz val="10"/>
      <color indexed="36"/>
      <name val="Arial"/>
      <family val="2"/>
    </font>
    <font>
      <b/>
      <sz val="11"/>
      <color indexed="9"/>
      <name val="Arial"/>
      <family val="2"/>
    </font>
    <font>
      <sz val="11"/>
      <color indexed="9"/>
      <name val="Arial"/>
      <family val="2"/>
    </font>
    <font>
      <u val="single"/>
      <sz val="11"/>
      <name val="Arial"/>
      <family val="2"/>
    </font>
    <font>
      <b/>
      <u val="single"/>
      <sz val="11"/>
      <name val="Arial"/>
      <family val="2"/>
    </font>
    <font>
      <b/>
      <sz val="16"/>
      <color indexed="9"/>
      <name val="Arial"/>
      <family val="2"/>
    </font>
    <font>
      <u val="single"/>
      <sz val="10"/>
      <color indexed="9"/>
      <name val="Arial"/>
      <family val="2"/>
    </font>
    <font>
      <b/>
      <i/>
      <sz val="11"/>
      <name val="Arial"/>
      <family val="2"/>
    </font>
    <font>
      <u val="single"/>
      <sz val="11"/>
      <color indexed="12"/>
      <name val="Arial"/>
      <family val="2"/>
    </font>
    <font>
      <sz val="11"/>
      <color indexed="12"/>
      <name val="Arial"/>
      <family val="2"/>
    </font>
    <font>
      <b/>
      <sz val="11"/>
      <color indexed="12"/>
      <name val="Arial"/>
      <family val="2"/>
    </font>
    <font>
      <i/>
      <sz val="11"/>
      <color indexed="9"/>
      <name val="Arial"/>
      <family val="2"/>
    </font>
    <font>
      <sz val="10"/>
      <color indexed="12"/>
      <name val="Arial"/>
      <family val="2"/>
    </font>
    <font>
      <sz val="11"/>
      <color indexed="48"/>
      <name val="Arial"/>
      <family val="2"/>
    </font>
    <font>
      <i/>
      <sz val="11"/>
      <name val="Arial"/>
      <family val="2"/>
    </font>
    <font>
      <sz val="11"/>
      <color indexed="8"/>
      <name val="Arial"/>
      <family val="2"/>
    </font>
    <font>
      <sz val="11"/>
      <color indexed="10"/>
      <name val="Arial"/>
      <family val="2"/>
    </font>
    <font>
      <i/>
      <sz val="11"/>
      <color indexed="8"/>
      <name val="Arial"/>
      <family val="2"/>
    </font>
    <font>
      <b/>
      <sz val="8"/>
      <name val="Arial"/>
      <family val="2"/>
    </font>
    <font>
      <sz val="11"/>
      <color indexed="17"/>
      <name val="Arial"/>
      <family val="2"/>
    </font>
    <font>
      <b/>
      <sz val="11"/>
      <color indexed="17"/>
      <name val="Arial"/>
      <family val="2"/>
    </font>
    <font>
      <sz val="10"/>
      <color indexed="17"/>
      <name val="Arial"/>
      <family val="2"/>
    </font>
    <font>
      <sz val="9"/>
      <color indexed="12"/>
      <name val="Arial"/>
      <family val="2"/>
    </font>
    <font>
      <i/>
      <sz val="11"/>
      <color indexed="47"/>
      <name val="Arial"/>
      <family val="2"/>
    </font>
    <font>
      <b/>
      <sz val="11"/>
      <color indexed="30"/>
      <name val="Arial"/>
      <family val="2"/>
    </font>
    <font>
      <sz val="11"/>
      <color indexed="60"/>
      <name val="Arial"/>
      <family val="2"/>
    </font>
    <font>
      <sz val="9"/>
      <name val="Arial"/>
      <family val="2"/>
    </font>
    <font>
      <sz val="11"/>
      <color indexed="8"/>
      <name val="Calibri"/>
      <family val="2"/>
    </font>
    <font>
      <sz val="11"/>
      <color indexed="9"/>
      <name val="Calibri"/>
      <family val="2"/>
    </font>
    <font>
      <sz val="11"/>
      <color indexed="25"/>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5"/>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29">
    <xf numFmtId="0" fontId="0" fillId="0" borderId="0" xfId="0" applyAlignment="1">
      <alignment/>
    </xf>
    <xf numFmtId="0" fontId="0" fillId="33" borderId="0" xfId="0" applyFill="1" applyAlignment="1">
      <alignment/>
    </xf>
    <xf numFmtId="0" fontId="2" fillId="33" borderId="0" xfId="0" applyFont="1" applyFill="1" applyAlignment="1">
      <alignment horizontal="left"/>
    </xf>
    <xf numFmtId="0" fontId="0" fillId="33" borderId="0" xfId="0" applyFill="1" applyAlignment="1">
      <alignment horizontal="left"/>
    </xf>
    <xf numFmtId="0" fontId="0" fillId="33" borderId="0" xfId="0" applyFill="1" applyAlignment="1">
      <alignment/>
    </xf>
    <xf numFmtId="0" fontId="3" fillId="0" borderId="0" xfId="0" applyFont="1" applyFill="1" applyBorder="1" applyAlignment="1">
      <alignment horizontal="left"/>
    </xf>
    <xf numFmtId="0" fontId="3" fillId="0" borderId="0" xfId="0" applyFont="1" applyFill="1" applyBorder="1" applyAlignment="1">
      <alignment wrapText="1"/>
    </xf>
    <xf numFmtId="0" fontId="4" fillId="0" borderId="0" xfId="0" applyFont="1" applyFill="1" applyBorder="1" applyAlignment="1">
      <alignment horizontal="left"/>
    </xf>
    <xf numFmtId="0" fontId="4" fillId="0" borderId="0" xfId="0" applyFont="1" applyFill="1" applyBorder="1" applyAlignment="1">
      <alignment horizontal="right" wrapText="1"/>
    </xf>
    <xf numFmtId="0" fontId="4" fillId="0" borderId="0" xfId="0" applyFont="1" applyFill="1" applyBorder="1" applyAlignment="1">
      <alignment/>
    </xf>
    <xf numFmtId="0" fontId="3" fillId="0" borderId="0" xfId="0" applyFont="1" applyFill="1" applyBorder="1" applyAlignment="1">
      <alignment horizontal="left"/>
    </xf>
    <xf numFmtId="0" fontId="5" fillId="33" borderId="0" xfId="0" applyFont="1" applyFill="1" applyAlignment="1">
      <alignment horizontal="left"/>
    </xf>
    <xf numFmtId="0" fontId="3" fillId="33" borderId="0" xfId="0" applyFont="1" applyFill="1" applyAlignment="1">
      <alignment/>
    </xf>
    <xf numFmtId="0" fontId="3" fillId="33" borderId="0" xfId="0" applyFont="1" applyFill="1" applyAlignment="1">
      <alignment/>
    </xf>
    <xf numFmtId="0" fontId="3" fillId="33" borderId="0" xfId="0" applyFont="1" applyFill="1" applyAlignment="1">
      <alignment horizontal="left"/>
    </xf>
    <xf numFmtId="37" fontId="4" fillId="0" borderId="0" xfId="0" applyNumberFormat="1" applyFont="1" applyFill="1" applyBorder="1" applyAlignment="1">
      <alignment horizontal="right"/>
    </xf>
    <xf numFmtId="37" fontId="4" fillId="34" borderId="0" xfId="0" applyNumberFormat="1" applyFont="1" applyFill="1" applyBorder="1" applyAlignment="1">
      <alignment horizontal="right"/>
    </xf>
    <xf numFmtId="37" fontId="4" fillId="0" borderId="0" xfId="0" applyNumberFormat="1" applyFont="1" applyFill="1" applyBorder="1" applyAlignment="1">
      <alignment horizontal="right" wrapText="1"/>
    </xf>
    <xf numFmtId="37" fontId="4"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horizontal="right"/>
    </xf>
    <xf numFmtId="37" fontId="3" fillId="0" borderId="0" xfId="0" applyNumberFormat="1" applyFont="1" applyFill="1" applyBorder="1" applyAlignment="1">
      <alignment horizontal="left"/>
    </xf>
    <xf numFmtId="37" fontId="3" fillId="0" borderId="0" xfId="0" applyNumberFormat="1" applyFont="1" applyFill="1" applyBorder="1" applyAlignment="1">
      <alignment/>
    </xf>
    <xf numFmtId="37" fontId="4" fillId="0" borderId="0" xfId="0" applyNumberFormat="1" applyFont="1" applyFill="1" applyBorder="1" applyAlignment="1">
      <alignment/>
    </xf>
    <xf numFmtId="0" fontId="3" fillId="0" borderId="0" xfId="0" applyFont="1" applyFill="1" applyBorder="1" applyAlignment="1">
      <alignment/>
    </xf>
    <xf numFmtId="37" fontId="3" fillId="0" borderId="0" xfId="0" applyNumberFormat="1" applyFont="1" applyFill="1" applyBorder="1" applyAlignment="1">
      <alignment/>
    </xf>
    <xf numFmtId="39" fontId="4" fillId="0" borderId="0" xfId="0" applyNumberFormat="1"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39" fontId="3" fillId="0" borderId="0" xfId="0" applyNumberFormat="1" applyFont="1" applyFill="1" applyBorder="1" applyAlignment="1">
      <alignment wrapText="1"/>
    </xf>
    <xf numFmtId="37" fontId="4" fillId="0" borderId="0" xfId="0" applyNumberFormat="1" applyFont="1" applyFill="1" applyBorder="1" applyAlignment="1">
      <alignment/>
    </xf>
    <xf numFmtId="37" fontId="4" fillId="0" borderId="0" xfId="0" applyNumberFormat="1" applyFont="1" applyFill="1" applyBorder="1" applyAlignment="1">
      <alignment wrapText="1"/>
    </xf>
    <xf numFmtId="37" fontId="3" fillId="0" borderId="0" xfId="0" applyNumberFormat="1" applyFont="1" applyFill="1" applyBorder="1" applyAlignment="1">
      <alignment wrapText="1"/>
    </xf>
    <xf numFmtId="37" fontId="3" fillId="0" borderId="0" xfId="0" applyNumberFormat="1" applyFont="1" applyFill="1" applyBorder="1" applyAlignment="1">
      <alignment/>
    </xf>
    <xf numFmtId="37" fontId="3" fillId="0" borderId="0" xfId="0" applyNumberFormat="1" applyFont="1" applyFill="1" applyBorder="1" applyAlignment="1" quotePrefix="1">
      <alignment horizontal="left"/>
    </xf>
    <xf numFmtId="37" fontId="3" fillId="0" borderId="0" xfId="0" applyNumberFormat="1" applyFont="1" applyFill="1" applyBorder="1" applyAlignment="1">
      <alignment/>
    </xf>
    <xf numFmtId="0" fontId="4" fillId="33" borderId="0" xfId="0" applyFont="1" applyFill="1" applyAlignment="1">
      <alignment horizontal="right"/>
    </xf>
    <xf numFmtId="0" fontId="3" fillId="0" borderId="0" xfId="0" applyFont="1" applyAlignment="1">
      <alignment vertical="top"/>
    </xf>
    <xf numFmtId="0" fontId="3" fillId="0" borderId="0" xfId="0" applyFont="1" applyAlignment="1">
      <alignment/>
    </xf>
    <xf numFmtId="0" fontId="11" fillId="0" borderId="0" xfId="0" applyFont="1" applyFill="1" applyBorder="1" applyAlignment="1">
      <alignment/>
    </xf>
    <xf numFmtId="0" fontId="12" fillId="35" borderId="10" xfId="0" applyFont="1" applyFill="1" applyBorder="1" applyAlignment="1">
      <alignment horizontal="left"/>
    </xf>
    <xf numFmtId="37" fontId="9" fillId="35" borderId="10" xfId="0" applyNumberFormat="1" applyFont="1" applyFill="1" applyBorder="1" applyAlignment="1">
      <alignment horizontal="left"/>
    </xf>
    <xf numFmtId="37" fontId="9" fillId="35" borderId="10" xfId="0" applyNumberFormat="1" applyFont="1" applyFill="1" applyBorder="1" applyAlignment="1">
      <alignment horizontal="right"/>
    </xf>
    <xf numFmtId="37" fontId="8" fillId="35" borderId="11" xfId="0" applyNumberFormat="1" applyFont="1" applyFill="1" applyBorder="1" applyAlignment="1">
      <alignment horizontal="center"/>
    </xf>
    <xf numFmtId="37" fontId="8" fillId="35" borderId="11" xfId="0" applyNumberFormat="1" applyFont="1" applyFill="1" applyBorder="1" applyAlignment="1">
      <alignment horizontal="center" wrapText="1"/>
    </xf>
    <xf numFmtId="37" fontId="11" fillId="0" borderId="0" xfId="0" applyNumberFormat="1" applyFont="1" applyFill="1" applyBorder="1" applyAlignment="1">
      <alignment horizontal="left"/>
    </xf>
    <xf numFmtId="0" fontId="11" fillId="0" borderId="0" xfId="0" applyFont="1" applyFill="1" applyBorder="1" applyAlignment="1">
      <alignment/>
    </xf>
    <xf numFmtId="39" fontId="11" fillId="0" borderId="0" xfId="0" applyNumberFormat="1" applyFont="1" applyFill="1" applyBorder="1" applyAlignment="1">
      <alignment/>
    </xf>
    <xf numFmtId="0" fontId="14" fillId="0" borderId="0" xfId="0" applyFont="1" applyFill="1" applyBorder="1" applyAlignment="1">
      <alignment/>
    </xf>
    <xf numFmtId="39" fontId="3" fillId="0" borderId="0" xfId="0" applyNumberFormat="1" applyFont="1" applyFill="1" applyBorder="1" applyAlignment="1">
      <alignment horizontal="left"/>
    </xf>
    <xf numFmtId="39" fontId="3" fillId="0" borderId="0" xfId="0" applyNumberFormat="1" applyFont="1" applyFill="1" applyBorder="1" applyAlignment="1">
      <alignment horizontal="right"/>
    </xf>
    <xf numFmtId="39" fontId="11" fillId="0" borderId="0" xfId="0" applyNumberFormat="1" applyFont="1" applyFill="1" applyBorder="1" applyAlignment="1">
      <alignment/>
    </xf>
    <xf numFmtId="39" fontId="4" fillId="0" borderId="0" xfId="0" applyNumberFormat="1" applyFont="1" applyFill="1" applyBorder="1" applyAlignment="1">
      <alignment horizontal="left"/>
    </xf>
    <xf numFmtId="39" fontId="4" fillId="0" borderId="0" xfId="0" applyNumberFormat="1" applyFont="1" applyFill="1" applyBorder="1" applyAlignment="1">
      <alignment horizontal="right"/>
    </xf>
    <xf numFmtId="39" fontId="4" fillId="0" borderId="0" xfId="0" applyNumberFormat="1" applyFont="1" applyFill="1" applyBorder="1" applyAlignment="1">
      <alignment horizontal="right" wrapText="1"/>
    </xf>
    <xf numFmtId="39" fontId="3" fillId="0" borderId="0" xfId="0" applyNumberFormat="1" applyFont="1" applyFill="1" applyBorder="1" applyAlignment="1">
      <alignment/>
    </xf>
    <xf numFmtId="39" fontId="4" fillId="0" borderId="0" xfId="0" applyNumberFormat="1" applyFont="1" applyFill="1" applyBorder="1" applyAlignment="1">
      <alignment/>
    </xf>
    <xf numFmtId="37" fontId="14" fillId="0" borderId="0" xfId="0" applyNumberFormat="1" applyFont="1" applyFill="1" applyBorder="1" applyAlignment="1">
      <alignment horizontal="left"/>
    </xf>
    <xf numFmtId="39" fontId="3" fillId="0" borderId="0" xfId="0" applyNumberFormat="1" applyFont="1" applyFill="1" applyBorder="1" applyAlignment="1">
      <alignment/>
    </xf>
    <xf numFmtId="176" fontId="3" fillId="0" borderId="0" xfId="0" applyNumberFormat="1" applyFont="1" applyFill="1" applyBorder="1" applyAlignment="1">
      <alignment horizontal="left"/>
    </xf>
    <xf numFmtId="176" fontId="3" fillId="0" borderId="0" xfId="0" applyNumberFormat="1" applyFont="1" applyFill="1" applyBorder="1" applyAlignment="1">
      <alignment horizontal="right"/>
    </xf>
    <xf numFmtId="176" fontId="4" fillId="0" borderId="0" xfId="0" applyNumberFormat="1" applyFont="1" applyFill="1" applyBorder="1" applyAlignment="1">
      <alignment horizontal="left"/>
    </xf>
    <xf numFmtId="176" fontId="14" fillId="0" borderId="0" xfId="0" applyNumberFormat="1" applyFont="1" applyFill="1" applyBorder="1" applyAlignment="1">
      <alignment/>
    </xf>
    <xf numFmtId="176" fontId="14" fillId="0" borderId="0" xfId="0" applyNumberFormat="1" applyFont="1" applyFill="1" applyBorder="1" applyAlignment="1">
      <alignment horizontal="left"/>
    </xf>
    <xf numFmtId="176" fontId="4" fillId="0" borderId="0" xfId="0" applyNumberFormat="1" applyFont="1" applyFill="1" applyBorder="1" applyAlignment="1">
      <alignment horizontal="right"/>
    </xf>
    <xf numFmtId="0" fontId="11" fillId="0" borderId="0" xfId="0" applyFont="1" applyAlignment="1">
      <alignment/>
    </xf>
    <xf numFmtId="0" fontId="3" fillId="0" borderId="0" xfId="0" applyFont="1" applyAlignment="1">
      <alignment/>
    </xf>
    <xf numFmtId="0" fontId="4" fillId="0" borderId="0" xfId="0" applyFont="1" applyAlignment="1">
      <alignment/>
    </xf>
    <xf numFmtId="0" fontId="15" fillId="33" borderId="0" xfId="53" applyFont="1" applyFill="1" applyAlignment="1" applyProtection="1">
      <alignment/>
      <protection/>
    </xf>
    <xf numFmtId="37" fontId="10" fillId="0" borderId="0" xfId="53" applyNumberFormat="1" applyFont="1" applyFill="1" applyBorder="1" applyAlignment="1" applyProtection="1">
      <alignment wrapText="1"/>
      <protection/>
    </xf>
    <xf numFmtId="37" fontId="11" fillId="0" borderId="0" xfId="0" applyNumberFormat="1" applyFont="1" applyFill="1" applyBorder="1" applyAlignment="1">
      <alignment/>
    </xf>
    <xf numFmtId="37" fontId="3" fillId="0" borderId="0" xfId="0" applyNumberFormat="1" applyFont="1" applyAlignment="1">
      <alignment horizontal="right" wrapText="1"/>
    </xf>
    <xf numFmtId="37" fontId="8" fillId="35" borderId="11" xfId="0" applyNumberFormat="1" applyFont="1" applyFill="1" applyBorder="1" applyAlignment="1">
      <alignment horizontal="right"/>
    </xf>
    <xf numFmtId="37" fontId="8" fillId="35" borderId="11" xfId="0" applyNumberFormat="1" applyFont="1" applyFill="1" applyBorder="1" applyAlignment="1">
      <alignment horizontal="right" wrapText="1"/>
    </xf>
    <xf numFmtId="37" fontId="3" fillId="0" borderId="0" xfId="0" applyNumberFormat="1" applyFont="1" applyFill="1" applyBorder="1" applyAlignment="1">
      <alignment horizontal="right" wrapText="1"/>
    </xf>
    <xf numFmtId="0" fontId="3" fillId="0" borderId="0" xfId="0" applyFont="1" applyFill="1" applyBorder="1" applyAlignment="1">
      <alignment horizontal="right" wrapText="1"/>
    </xf>
    <xf numFmtId="0" fontId="3" fillId="0" borderId="0" xfId="0" applyFont="1" applyFill="1" applyBorder="1" applyAlignment="1">
      <alignment vertical="top"/>
    </xf>
    <xf numFmtId="0" fontId="3" fillId="0" borderId="0" xfId="0" applyFont="1" applyBorder="1" applyAlignment="1">
      <alignment vertical="top"/>
    </xf>
    <xf numFmtId="176" fontId="3" fillId="0" borderId="0" xfId="0" applyNumberFormat="1" applyFont="1" applyFill="1" applyBorder="1" applyAlignment="1">
      <alignment vertical="top"/>
    </xf>
    <xf numFmtId="0" fontId="3" fillId="0" borderId="0" xfId="0" applyFont="1" applyAlignment="1">
      <alignment/>
    </xf>
    <xf numFmtId="0" fontId="4" fillId="0" borderId="0" xfId="0" applyFont="1" applyBorder="1" applyAlignment="1">
      <alignment vertical="top" wrapText="1"/>
    </xf>
    <xf numFmtId="0" fontId="4" fillId="33" borderId="0" xfId="0" applyFont="1" applyFill="1" applyAlignment="1">
      <alignment/>
    </xf>
    <xf numFmtId="176" fontId="3" fillId="0" borderId="0" xfId="0" applyNumberFormat="1" applyFont="1" applyFill="1" applyBorder="1" applyAlignment="1">
      <alignment wrapText="1"/>
    </xf>
    <xf numFmtId="176" fontId="3" fillId="0" borderId="0" xfId="0" applyNumberFormat="1" applyFont="1" applyFill="1" applyBorder="1" applyAlignment="1">
      <alignment horizontal="right" wrapText="1"/>
    </xf>
    <xf numFmtId="176" fontId="3" fillId="0" borderId="0" xfId="0" applyNumberFormat="1" applyFont="1" applyBorder="1" applyAlignment="1">
      <alignment horizontal="right" wrapText="1"/>
    </xf>
    <xf numFmtId="39" fontId="3" fillId="0" borderId="0" xfId="0" applyNumberFormat="1" applyFont="1" applyFill="1" applyBorder="1" applyAlignment="1">
      <alignment horizontal="right" wrapText="1"/>
    </xf>
    <xf numFmtId="39" fontId="10" fillId="0" borderId="0" xfId="53" applyNumberFormat="1" applyFont="1" applyFill="1" applyBorder="1" applyAlignment="1" applyProtection="1">
      <alignment wrapText="1"/>
      <protection/>
    </xf>
    <xf numFmtId="37" fontId="11" fillId="0" borderId="0" xfId="0" applyNumberFormat="1" applyFont="1" applyFill="1" applyBorder="1" applyAlignment="1">
      <alignment/>
    </xf>
    <xf numFmtId="37" fontId="4" fillId="0" borderId="0" xfId="0" applyNumberFormat="1" applyFont="1" applyFill="1" applyBorder="1" applyAlignment="1">
      <alignment vertical="top" wrapText="1"/>
    </xf>
    <xf numFmtId="37" fontId="3" fillId="0" borderId="0" xfId="0" applyNumberFormat="1" applyFont="1" applyFill="1" applyBorder="1" applyAlignment="1">
      <alignment vertical="top" wrapText="1"/>
    </xf>
    <xf numFmtId="37" fontId="14" fillId="0" borderId="0" xfId="0" applyNumberFormat="1" applyFont="1" applyFill="1" applyBorder="1" applyAlignment="1">
      <alignment/>
    </xf>
    <xf numFmtId="37" fontId="3" fillId="0" borderId="0" xfId="0" applyNumberFormat="1" applyFont="1" applyBorder="1" applyAlignment="1">
      <alignment/>
    </xf>
    <xf numFmtId="37" fontId="3" fillId="0" borderId="0" xfId="0" applyNumberFormat="1" applyFont="1" applyFill="1" applyBorder="1" applyAlignment="1">
      <alignment vertical="top"/>
    </xf>
    <xf numFmtId="37" fontId="3" fillId="0" borderId="0" xfId="0" applyNumberFormat="1" applyFont="1" applyBorder="1" applyAlignment="1">
      <alignment vertical="top"/>
    </xf>
    <xf numFmtId="0" fontId="16" fillId="33" borderId="0" xfId="0" applyFont="1" applyFill="1" applyAlignment="1">
      <alignment/>
    </xf>
    <xf numFmtId="0" fontId="17" fillId="33" borderId="0" xfId="0" applyFont="1" applyFill="1" applyAlignment="1">
      <alignment horizontal="left"/>
    </xf>
    <xf numFmtId="0" fontId="16" fillId="33" borderId="0" xfId="0" applyFont="1" applyFill="1" applyAlignment="1">
      <alignment/>
    </xf>
    <xf numFmtId="0" fontId="4" fillId="33" borderId="0" xfId="0" applyFont="1" applyFill="1" applyAlignment="1">
      <alignment horizontal="left"/>
    </xf>
    <xf numFmtId="0" fontId="14" fillId="33" borderId="0" xfId="0" applyFont="1" applyFill="1" applyAlignment="1">
      <alignment/>
    </xf>
    <xf numFmtId="37" fontId="3" fillId="0" borderId="0" xfId="0" applyNumberFormat="1" applyFont="1" applyBorder="1" applyAlignment="1">
      <alignment vertical="top"/>
    </xf>
    <xf numFmtId="37" fontId="3" fillId="0" borderId="0" xfId="0" applyNumberFormat="1" applyFont="1" applyAlignment="1">
      <alignment vertical="top"/>
    </xf>
    <xf numFmtId="37" fontId="3" fillId="0" borderId="0" xfId="0" applyNumberFormat="1" applyFont="1" applyAlignment="1">
      <alignment/>
    </xf>
    <xf numFmtId="0" fontId="3" fillId="0" borderId="0" xfId="0" applyFont="1" applyAlignment="1">
      <alignment horizontal="right" wrapText="1"/>
    </xf>
    <xf numFmtId="178" fontId="4" fillId="0" borderId="0" xfId="42" applyNumberFormat="1" applyFont="1" applyFill="1" applyBorder="1" applyAlignment="1">
      <alignment horizontal="right" wrapText="1"/>
    </xf>
    <xf numFmtId="37" fontId="5" fillId="0" borderId="0" xfId="0" applyNumberFormat="1" applyFont="1" applyFill="1" applyBorder="1" applyAlignment="1">
      <alignment horizontal="left"/>
    </xf>
    <xf numFmtId="37" fontId="4" fillId="0" borderId="0" xfId="0" applyNumberFormat="1" applyFont="1" applyAlignment="1">
      <alignment vertical="top"/>
    </xf>
    <xf numFmtId="37" fontId="3" fillId="0" borderId="0" xfId="0" applyNumberFormat="1" applyFont="1" applyAlignment="1">
      <alignment horizontal="right" vertical="top" wrapText="1"/>
    </xf>
    <xf numFmtId="37" fontId="3" fillId="0" borderId="0" xfId="0" applyNumberFormat="1" applyFont="1" applyAlignment="1">
      <alignment/>
    </xf>
    <xf numFmtId="0" fontId="4" fillId="0" borderId="0" xfId="0" applyFont="1" applyAlignment="1">
      <alignment/>
    </xf>
    <xf numFmtId="182" fontId="3" fillId="0" borderId="0" xfId="0" applyNumberFormat="1" applyFont="1" applyAlignment="1">
      <alignment/>
    </xf>
    <xf numFmtId="182" fontId="0" fillId="0" borderId="0" xfId="0" applyNumberFormat="1" applyAlignment="1">
      <alignment/>
    </xf>
    <xf numFmtId="49" fontId="3" fillId="0" borderId="0" xfId="0" applyNumberFormat="1" applyFont="1" applyAlignment="1">
      <alignment/>
    </xf>
    <xf numFmtId="49" fontId="0" fillId="0" borderId="0" xfId="0" applyNumberFormat="1" applyAlignment="1">
      <alignment/>
    </xf>
    <xf numFmtId="0" fontId="3" fillId="0" borderId="0" xfId="0" applyFont="1" applyFill="1" applyAlignment="1">
      <alignment horizontal="right" wrapText="1"/>
    </xf>
    <xf numFmtId="179" fontId="3" fillId="0" borderId="0" xfId="0" applyNumberFormat="1" applyFont="1" applyFill="1" applyBorder="1" applyAlignment="1">
      <alignment/>
    </xf>
    <xf numFmtId="39" fontId="4" fillId="0" borderId="0" xfId="0" applyNumberFormat="1" applyFont="1" applyBorder="1" applyAlignment="1">
      <alignment horizontal="right"/>
    </xf>
    <xf numFmtId="39" fontId="3" fillId="0" borderId="0" xfId="0" applyNumberFormat="1" applyFont="1" applyFill="1" applyBorder="1" applyAlignment="1">
      <alignment horizontal="left" wrapText="1"/>
    </xf>
    <xf numFmtId="176" fontId="3" fillId="0" borderId="0" xfId="0" applyNumberFormat="1" applyFont="1" applyFill="1" applyBorder="1" applyAlignment="1">
      <alignment horizontal="left" wrapText="1"/>
    </xf>
    <xf numFmtId="37" fontId="3" fillId="34" borderId="0" xfId="0" applyNumberFormat="1" applyFont="1" applyFill="1" applyBorder="1" applyAlignment="1">
      <alignment horizontal="right" wrapText="1"/>
    </xf>
    <xf numFmtId="37" fontId="3" fillId="0" borderId="0" xfId="0" applyNumberFormat="1" applyFont="1" applyFill="1" applyBorder="1" applyAlignment="1">
      <alignment horizontal="left" wrapText="1"/>
    </xf>
    <xf numFmtId="37" fontId="3" fillId="0" borderId="0" xfId="0" applyNumberFormat="1" applyFont="1" applyFill="1" applyBorder="1" applyAlignment="1">
      <alignment horizontal="right" wrapText="1"/>
    </xf>
    <xf numFmtId="37" fontId="3" fillId="34" borderId="0" xfId="0" applyNumberFormat="1" applyFont="1" applyFill="1" applyBorder="1" applyAlignment="1">
      <alignment horizontal="right" wrapText="1"/>
    </xf>
    <xf numFmtId="0" fontId="12" fillId="35" borderId="10" xfId="0" applyFont="1" applyFill="1" applyBorder="1" applyAlignment="1">
      <alignment horizontal="right" wrapText="1"/>
    </xf>
    <xf numFmtId="37" fontId="9" fillId="35" borderId="1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0" fontId="3" fillId="0" borderId="0" xfId="0" applyFont="1" applyFill="1" applyBorder="1" applyAlignment="1">
      <alignment horizontal="right" wrapText="1"/>
    </xf>
    <xf numFmtId="37" fontId="3" fillId="0" borderId="0" xfId="0" applyNumberFormat="1" applyFont="1" applyFill="1" applyBorder="1" applyAlignment="1">
      <alignment wrapText="1"/>
    </xf>
    <xf numFmtId="39" fontId="3" fillId="0" borderId="0" xfId="0" applyNumberFormat="1" applyFont="1" applyFill="1" applyBorder="1" applyAlignment="1">
      <alignment horizontal="right" wrapText="1"/>
    </xf>
    <xf numFmtId="37" fontId="18" fillId="0" borderId="0" xfId="0" applyNumberFormat="1" applyFont="1" applyAlignment="1">
      <alignment horizontal="right" wrapText="1"/>
    </xf>
    <xf numFmtId="179" fontId="3" fillId="0" borderId="0" xfId="0" applyNumberFormat="1" applyFont="1" applyFill="1" applyBorder="1" applyAlignment="1">
      <alignment horizontal="right" wrapText="1"/>
    </xf>
    <xf numFmtId="178" fontId="3" fillId="0" borderId="0" xfId="42" applyNumberFormat="1" applyFont="1" applyFill="1" applyBorder="1" applyAlignment="1">
      <alignment horizontal="right" wrapText="1"/>
    </xf>
    <xf numFmtId="37" fontId="3"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176" fontId="4" fillId="0" borderId="0" xfId="0" applyNumberFormat="1" applyFont="1" applyFill="1" applyBorder="1" applyAlignment="1">
      <alignment horizontal="right" wrapText="1"/>
    </xf>
    <xf numFmtId="178" fontId="3" fillId="0" borderId="0" xfId="42" applyNumberFormat="1" applyFont="1" applyAlignment="1">
      <alignment horizontal="right" wrapText="1"/>
    </xf>
    <xf numFmtId="3" fontId="3" fillId="0" borderId="0" xfId="0" applyNumberFormat="1" applyFont="1" applyAlignment="1">
      <alignment horizontal="right" wrapText="1"/>
    </xf>
    <xf numFmtId="0" fontId="0" fillId="0" borderId="0" xfId="0" applyAlignment="1">
      <alignment horizontal="right" wrapText="1"/>
    </xf>
    <xf numFmtId="0" fontId="0" fillId="34" borderId="0" xfId="0" applyFill="1" applyAlignment="1">
      <alignment horizontal="right" wrapText="1"/>
    </xf>
    <xf numFmtId="37" fontId="3" fillId="0" borderId="0" xfId="42" applyNumberFormat="1" applyFont="1" applyFill="1" applyBorder="1" applyAlignment="1">
      <alignment horizontal="right" wrapText="1"/>
    </xf>
    <xf numFmtId="178" fontId="3" fillId="0" borderId="0" xfId="42" applyNumberFormat="1" applyFont="1" applyFill="1" applyBorder="1" applyAlignment="1">
      <alignment horizontal="right" wrapText="1"/>
    </xf>
    <xf numFmtId="37" fontId="17" fillId="34" borderId="0" xfId="0" applyNumberFormat="1" applyFont="1" applyFill="1" applyBorder="1" applyAlignment="1">
      <alignment horizontal="right" wrapText="1"/>
    </xf>
    <xf numFmtId="37" fontId="16" fillId="34" borderId="0" xfId="0" applyNumberFormat="1" applyFont="1" applyFill="1" applyBorder="1" applyAlignment="1">
      <alignment horizontal="right" wrapText="1"/>
    </xf>
    <xf numFmtId="37" fontId="16" fillId="34" borderId="0" xfId="0" applyNumberFormat="1" applyFont="1" applyFill="1" applyBorder="1" applyAlignment="1">
      <alignment horizontal="right" wrapText="1"/>
    </xf>
    <xf numFmtId="37" fontId="17" fillId="34" borderId="0" xfId="0" applyNumberFormat="1" applyFont="1" applyFill="1" applyBorder="1" applyAlignment="1">
      <alignment horizontal="right" wrapText="1"/>
    </xf>
    <xf numFmtId="0" fontId="3" fillId="0" borderId="12" xfId="0" applyFont="1" applyBorder="1" applyAlignment="1">
      <alignment horizontal="right" wrapText="1"/>
    </xf>
    <xf numFmtId="0" fontId="4" fillId="0" borderId="0" xfId="0" applyFont="1" applyAlignment="1">
      <alignment horizontal="right" wrapText="1"/>
    </xf>
    <xf numFmtId="0" fontId="16" fillId="0" borderId="0" xfId="0" applyFont="1" applyAlignment="1">
      <alignment horizontal="right" wrapText="1"/>
    </xf>
    <xf numFmtId="16" fontId="5" fillId="0" borderId="0" xfId="0" applyNumberFormat="1" applyFont="1" applyAlignment="1">
      <alignment horizontal="right" wrapText="1"/>
    </xf>
    <xf numFmtId="0" fontId="4" fillId="0" borderId="13" xfId="0" applyFont="1" applyBorder="1" applyAlignment="1">
      <alignment horizontal="right" wrapText="1"/>
    </xf>
    <xf numFmtId="3" fontId="3" fillId="0" borderId="12" xfId="0" applyNumberFormat="1" applyFont="1" applyBorder="1" applyAlignment="1">
      <alignment horizontal="right" wrapText="1"/>
    </xf>
    <xf numFmtId="0" fontId="16" fillId="0" borderId="12" xfId="0" applyFont="1" applyBorder="1" applyAlignment="1">
      <alignment horizontal="right" wrapText="1"/>
    </xf>
    <xf numFmtId="0" fontId="17" fillId="0" borderId="0" xfId="0" applyFont="1" applyAlignment="1">
      <alignment horizontal="right" wrapText="1"/>
    </xf>
    <xf numFmtId="178" fontId="3" fillId="34" borderId="0" xfId="42" applyNumberFormat="1" applyFont="1" applyFill="1" applyBorder="1" applyAlignment="1">
      <alignment horizontal="right" wrapText="1"/>
    </xf>
    <xf numFmtId="0" fontId="0" fillId="0" borderId="0" xfId="0" applyFill="1" applyAlignment="1">
      <alignment horizontal="right" wrapText="1"/>
    </xf>
    <xf numFmtId="178" fontId="3" fillId="0" borderId="0" xfId="42" applyNumberFormat="1" applyFont="1" applyFill="1" applyAlignment="1">
      <alignment horizontal="right" wrapText="1"/>
    </xf>
    <xf numFmtId="178" fontId="18" fillId="0" borderId="0" xfId="42" applyNumberFormat="1" applyFont="1" applyFill="1" applyAlignment="1">
      <alignment horizontal="right" wrapText="1"/>
    </xf>
    <xf numFmtId="176" fontId="3" fillId="0" borderId="0" xfId="0" applyNumberFormat="1" applyFont="1" applyFill="1" applyBorder="1" applyAlignment="1">
      <alignment/>
    </xf>
    <xf numFmtId="0" fontId="16" fillId="0" borderId="0" xfId="0" applyFont="1" applyBorder="1" applyAlignment="1">
      <alignment/>
    </xf>
    <xf numFmtId="178" fontId="16" fillId="0" borderId="0" xfId="42" applyNumberFormat="1" applyFont="1" applyFill="1" applyBorder="1" applyAlignment="1">
      <alignment horizontal="right" wrapText="1"/>
    </xf>
    <xf numFmtId="37" fontId="20" fillId="0" borderId="0" xfId="0" applyNumberFormat="1" applyFont="1" applyFill="1" applyBorder="1" applyAlignment="1">
      <alignment horizontal="right" wrapText="1"/>
    </xf>
    <xf numFmtId="0" fontId="20" fillId="0" borderId="0" xfId="0" applyFont="1" applyFill="1" applyBorder="1" applyAlignment="1">
      <alignment horizontal="right" wrapText="1"/>
    </xf>
    <xf numFmtId="37" fontId="4" fillId="0" borderId="0" xfId="0" applyNumberFormat="1" applyFont="1" applyFill="1" applyBorder="1" applyAlignment="1">
      <alignment horizontal="right" wrapText="1"/>
    </xf>
    <xf numFmtId="0" fontId="12" fillId="35" borderId="10" xfId="0" applyFont="1" applyFill="1" applyBorder="1" applyAlignment="1">
      <alignment horizontal="right"/>
    </xf>
    <xf numFmtId="0" fontId="3" fillId="0" borderId="0" xfId="0" applyFont="1" applyFill="1" applyBorder="1" applyAlignment="1">
      <alignment horizontal="right"/>
    </xf>
    <xf numFmtId="37" fontId="16" fillId="0" borderId="0" xfId="0" applyNumberFormat="1" applyFont="1" applyFill="1" applyBorder="1" applyAlignment="1">
      <alignment horizontal="right" wrapText="1"/>
    </xf>
    <xf numFmtId="0" fontId="3" fillId="0" borderId="0" xfId="0" applyFont="1" applyAlignment="1">
      <alignment wrapText="1"/>
    </xf>
    <xf numFmtId="37" fontId="9" fillId="36" borderId="10" xfId="0" applyNumberFormat="1" applyFont="1" applyFill="1" applyBorder="1" applyAlignment="1">
      <alignment horizontal="right" wrapText="1"/>
    </xf>
    <xf numFmtId="37" fontId="8" fillId="36" borderId="11"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37" fontId="17" fillId="0" borderId="0" xfId="0" applyNumberFormat="1" applyFont="1" applyFill="1" applyBorder="1" applyAlignment="1">
      <alignment horizontal="right" wrapText="1"/>
    </xf>
    <xf numFmtId="37" fontId="16" fillId="0" borderId="0" xfId="0" applyNumberFormat="1" applyFont="1" applyFill="1" applyBorder="1" applyAlignment="1">
      <alignment horizontal="right" wrapText="1"/>
    </xf>
    <xf numFmtId="0" fontId="4" fillId="0" borderId="14" xfId="0" applyFont="1" applyBorder="1" applyAlignment="1">
      <alignment vertical="top" wrapText="1"/>
    </xf>
    <xf numFmtId="0" fontId="4" fillId="0" borderId="13" xfId="0" applyFont="1" applyBorder="1" applyAlignment="1">
      <alignment vertical="top" wrapText="1"/>
    </xf>
    <xf numFmtId="0" fontId="3"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wrapText="1"/>
    </xf>
    <xf numFmtId="0" fontId="3" fillId="0" borderId="0" xfId="0" applyFont="1" applyAlignment="1">
      <alignment horizontal="left" wrapText="1" indent="3"/>
    </xf>
    <xf numFmtId="0" fontId="3" fillId="0" borderId="0" xfId="0" applyFont="1" applyAlignment="1">
      <alignment horizontal="justify" wrapText="1"/>
    </xf>
    <xf numFmtId="0" fontId="5" fillId="0" borderId="0" xfId="0" applyFont="1" applyAlignment="1">
      <alignment vertical="top" wrapText="1"/>
    </xf>
    <xf numFmtId="0" fontId="5" fillId="0" borderId="13" xfId="0" applyFont="1" applyBorder="1" applyAlignment="1">
      <alignment vertical="top" wrapText="1"/>
    </xf>
    <xf numFmtId="0" fontId="21" fillId="0" borderId="0" xfId="0" applyFont="1" applyAlignment="1">
      <alignment wrapText="1"/>
    </xf>
    <xf numFmtId="0" fontId="21" fillId="0" borderId="0" xfId="0" applyFont="1" applyAlignment="1">
      <alignment horizontal="left" wrapText="1" indent="1"/>
    </xf>
    <xf numFmtId="0" fontId="3" fillId="0" borderId="13" xfId="0" applyFont="1" applyBorder="1" applyAlignment="1">
      <alignment wrapText="1"/>
    </xf>
    <xf numFmtId="0" fontId="3" fillId="0" borderId="13" xfId="0" applyFont="1" applyBorder="1" applyAlignment="1">
      <alignment horizontal="right" wrapText="1"/>
    </xf>
    <xf numFmtId="0" fontId="22" fillId="0" borderId="14" xfId="0" applyFont="1" applyBorder="1" applyAlignment="1">
      <alignment horizontal="center" wrapText="1"/>
    </xf>
    <xf numFmtId="0" fontId="5" fillId="0" borderId="14" xfId="0" applyFont="1" applyBorder="1" applyAlignment="1">
      <alignment horizontal="center" wrapText="1"/>
    </xf>
    <xf numFmtId="0" fontId="5" fillId="0" borderId="14" xfId="0" applyFont="1" applyBorder="1" applyAlignment="1">
      <alignment horizontal="center" vertical="top" wrapText="1"/>
    </xf>
    <xf numFmtId="0" fontId="22" fillId="0" borderId="0" xfId="0" applyFont="1" applyAlignment="1">
      <alignment wrapText="1"/>
    </xf>
    <xf numFmtId="0" fontId="5" fillId="0" borderId="0" xfId="0" applyFont="1" applyAlignment="1">
      <alignment horizontal="center" wrapText="1"/>
    </xf>
    <xf numFmtId="182" fontId="3" fillId="0" borderId="0" xfId="0" applyNumberFormat="1" applyFont="1" applyAlignment="1">
      <alignment/>
    </xf>
    <xf numFmtId="0" fontId="5" fillId="0" borderId="13" xfId="0" applyFont="1" applyBorder="1" applyAlignment="1">
      <alignment wrapText="1"/>
    </xf>
    <xf numFmtId="0" fontId="5" fillId="0" borderId="13" xfId="0" applyFont="1" applyBorder="1" applyAlignment="1">
      <alignment horizontal="center" wrapText="1"/>
    </xf>
    <xf numFmtId="49" fontId="3" fillId="0" borderId="0" xfId="0" applyNumberFormat="1" applyFont="1" applyAlignment="1">
      <alignment/>
    </xf>
    <xf numFmtId="0" fontId="22" fillId="0" borderId="0" xfId="0" applyFont="1" applyAlignment="1">
      <alignment horizontal="center" wrapText="1"/>
    </xf>
    <xf numFmtId="0" fontId="22" fillId="0" borderId="0" xfId="0" applyFont="1" applyAlignment="1">
      <alignment horizontal="right" wrapText="1"/>
    </xf>
    <xf numFmtId="0" fontId="22" fillId="0" borderId="0" xfId="0" applyFont="1" applyAlignment="1">
      <alignment vertical="top" wrapText="1"/>
    </xf>
    <xf numFmtId="0" fontId="23" fillId="0" borderId="0" xfId="0" applyFont="1" applyAlignment="1">
      <alignment horizontal="center" wrapText="1"/>
    </xf>
    <xf numFmtId="0" fontId="4" fillId="0" borderId="0" xfId="0" applyFont="1" applyAlignment="1">
      <alignment vertical="top" wrapText="1"/>
    </xf>
    <xf numFmtId="0" fontId="5" fillId="0" borderId="0" xfId="0" applyFont="1" applyAlignment="1">
      <alignment wrapText="1"/>
    </xf>
    <xf numFmtId="0" fontId="22" fillId="0" borderId="0" xfId="0" applyFont="1" applyAlignment="1">
      <alignment horizontal="justify" wrapText="1"/>
    </xf>
    <xf numFmtId="0" fontId="4" fillId="0" borderId="0" xfId="0" applyFont="1" applyAlignment="1">
      <alignment horizontal="center" wrapText="1"/>
    </xf>
    <xf numFmtId="0" fontId="22" fillId="0" borderId="0" xfId="0" applyFont="1" applyAlignment="1">
      <alignment horizontal="left" wrapText="1" indent="2"/>
    </xf>
    <xf numFmtId="0" fontId="22" fillId="0" borderId="13" xfId="0" applyFont="1" applyBorder="1" applyAlignment="1">
      <alignment horizontal="left" wrapText="1" indent="2"/>
    </xf>
    <xf numFmtId="0" fontId="22" fillId="0" borderId="13" xfId="0" applyFont="1" applyBorder="1" applyAlignment="1">
      <alignment horizontal="center" wrapText="1"/>
    </xf>
    <xf numFmtId="3" fontId="3" fillId="0" borderId="0" xfId="0" applyNumberFormat="1" applyFont="1" applyBorder="1" applyAlignment="1">
      <alignment horizontal="right" wrapText="1"/>
    </xf>
    <xf numFmtId="0" fontId="22" fillId="0" borderId="0" xfId="0" applyFont="1" applyAlignment="1">
      <alignment horizontal="right" vertical="top" wrapText="1" indent="1"/>
    </xf>
    <xf numFmtId="0" fontId="5" fillId="0" borderId="0" xfId="0" applyFont="1" applyAlignment="1">
      <alignment horizontal="left" vertical="top" wrapText="1" indent="1"/>
    </xf>
    <xf numFmtId="0" fontId="22" fillId="0" borderId="0" xfId="0" applyFont="1" applyAlignment="1">
      <alignment horizontal="left" vertical="top" wrapText="1" indent="1"/>
    </xf>
    <xf numFmtId="0" fontId="24" fillId="0" borderId="0" xfId="0" applyFont="1" applyAlignment="1">
      <alignment horizontal="left" vertical="top" wrapText="1" indent="1"/>
    </xf>
    <xf numFmtId="0" fontId="24" fillId="0" borderId="0" xfId="0" applyFont="1" applyAlignment="1">
      <alignment vertical="top" wrapText="1"/>
    </xf>
    <xf numFmtId="0" fontId="3" fillId="0" borderId="0" xfId="0" applyFont="1" applyAlignment="1">
      <alignment horizontal="right" vertical="top" wrapText="1" indent="1"/>
    </xf>
    <xf numFmtId="0" fontId="4" fillId="0" borderId="0" xfId="0" applyFont="1" applyAlignment="1">
      <alignment horizontal="left" vertical="top" wrapText="1" indent="1"/>
    </xf>
    <xf numFmtId="0" fontId="3" fillId="0" borderId="0" xfId="0" applyFont="1" applyAlignment="1">
      <alignment horizontal="left" vertical="top" wrapText="1" indent="1"/>
    </xf>
    <xf numFmtId="0" fontId="5" fillId="0" borderId="13" xfId="0" applyFont="1" applyBorder="1" applyAlignment="1">
      <alignment horizontal="left" vertical="top" wrapText="1" indent="1"/>
    </xf>
    <xf numFmtId="0" fontId="3" fillId="0" borderId="0" xfId="0" applyFont="1" applyAlignment="1">
      <alignment horizontal="right"/>
    </xf>
    <xf numFmtId="0" fontId="16" fillId="0" borderId="13" xfId="0" applyFont="1" applyBorder="1" applyAlignment="1">
      <alignment horizontal="right" wrapText="1"/>
    </xf>
    <xf numFmtId="178" fontId="3" fillId="0" borderId="0" xfId="42" applyNumberFormat="1" applyFont="1" applyAlignment="1">
      <alignment horizontal="right"/>
    </xf>
    <xf numFmtId="37" fontId="3" fillId="0" borderId="0" xfId="0" applyNumberFormat="1" applyFont="1" applyAlignment="1">
      <alignment horizontal="right"/>
    </xf>
    <xf numFmtId="37" fontId="12" fillId="35" borderId="10" xfId="0" applyNumberFormat="1" applyFont="1" applyFill="1" applyBorder="1" applyAlignment="1">
      <alignment horizontal="left"/>
    </xf>
    <xf numFmtId="37" fontId="3" fillId="0" borderId="0" xfId="0" applyNumberFormat="1" applyFont="1" applyAlignment="1">
      <alignment horizontal="center" vertical="top" wrapText="1"/>
    </xf>
    <xf numFmtId="37" fontId="3" fillId="0" borderId="12" xfId="0" applyNumberFormat="1" applyFont="1" applyBorder="1" applyAlignment="1">
      <alignment horizontal="right" wrapText="1"/>
    </xf>
    <xf numFmtId="37" fontId="22" fillId="0" borderId="13" xfId="0" applyNumberFormat="1" applyFont="1" applyBorder="1" applyAlignment="1">
      <alignment horizontal="right" wrapText="1"/>
    </xf>
    <xf numFmtId="37" fontId="3" fillId="0" borderId="0" xfId="42" applyNumberFormat="1" applyFont="1" applyAlignment="1">
      <alignment horizontal="right"/>
    </xf>
    <xf numFmtId="37" fontId="3" fillId="0" borderId="13" xfId="0" applyNumberFormat="1" applyFont="1" applyBorder="1" applyAlignment="1">
      <alignment horizontal="right" wrapText="1"/>
    </xf>
    <xf numFmtId="37" fontId="0" fillId="0" borderId="0" xfId="0" applyNumberFormat="1" applyAlignment="1">
      <alignment horizontal="right"/>
    </xf>
    <xf numFmtId="37" fontId="0" fillId="0" borderId="0" xfId="0" applyNumberFormat="1" applyAlignment="1">
      <alignment/>
    </xf>
    <xf numFmtId="37" fontId="4" fillId="0" borderId="0" xfId="0" applyNumberFormat="1" applyFont="1" applyAlignment="1">
      <alignment horizontal="center" vertical="top" wrapText="1"/>
    </xf>
    <xf numFmtId="37" fontId="17" fillId="0" borderId="0" xfId="0" applyNumberFormat="1" applyFont="1" applyAlignment="1">
      <alignment horizontal="right" wrapText="1"/>
    </xf>
    <xf numFmtId="37" fontId="4" fillId="0" borderId="0" xfId="0" applyNumberFormat="1" applyFont="1" applyAlignment="1">
      <alignment horizontal="right" wrapText="1"/>
    </xf>
    <xf numFmtId="37" fontId="4" fillId="0" borderId="13" xfId="0" applyNumberFormat="1" applyFont="1" applyBorder="1" applyAlignment="1">
      <alignment horizontal="right" wrapText="1"/>
    </xf>
    <xf numFmtId="37" fontId="16" fillId="0" borderId="13" xfId="0" applyNumberFormat="1" applyFont="1" applyBorder="1" applyAlignment="1">
      <alignment horizontal="right" wrapText="1"/>
    </xf>
    <xf numFmtId="37" fontId="8" fillId="35" borderId="10" xfId="42" applyNumberFormat="1" applyFont="1" applyFill="1" applyBorder="1" applyAlignment="1">
      <alignment horizontal="right"/>
    </xf>
    <xf numFmtId="37" fontId="8" fillId="35" borderId="11" xfId="42" applyNumberFormat="1" applyFont="1" applyFill="1" applyBorder="1" applyAlignment="1">
      <alignment horizontal="right"/>
    </xf>
    <xf numFmtId="37" fontId="3" fillId="0" borderId="0" xfId="42" applyNumberFormat="1" applyFont="1" applyAlignment="1">
      <alignment horizontal="right"/>
    </xf>
    <xf numFmtId="37" fontId="5" fillId="0" borderId="0" xfId="0" applyNumberFormat="1" applyFont="1" applyAlignment="1">
      <alignment vertical="top" wrapText="1"/>
    </xf>
    <xf numFmtId="37" fontId="17" fillId="0" borderId="13" xfId="0" applyNumberFormat="1" applyFont="1" applyBorder="1" applyAlignment="1">
      <alignment vertical="top" wrapText="1"/>
    </xf>
    <xf numFmtId="37" fontId="16" fillId="0" borderId="0" xfId="42" applyNumberFormat="1" applyFont="1" applyAlignment="1">
      <alignment horizontal="right"/>
    </xf>
    <xf numFmtId="37" fontId="3" fillId="0" borderId="0" xfId="0" applyNumberFormat="1" applyFont="1" applyAlignment="1">
      <alignment horizontal="right"/>
    </xf>
    <xf numFmtId="0" fontId="16" fillId="0" borderId="0" xfId="0" applyFont="1" applyAlignment="1">
      <alignment horizontal="right"/>
    </xf>
    <xf numFmtId="0" fontId="0" fillId="0" borderId="0" xfId="0" applyFont="1" applyAlignment="1">
      <alignment horizontal="right"/>
    </xf>
    <xf numFmtId="0" fontId="0" fillId="0" borderId="0" xfId="0" applyFont="1" applyAlignment="1">
      <alignment/>
    </xf>
    <xf numFmtId="178" fontId="3" fillId="0" borderId="13" xfId="42" applyNumberFormat="1" applyFont="1" applyBorder="1" applyAlignment="1">
      <alignment horizontal="right" wrapText="1"/>
    </xf>
    <xf numFmtId="178" fontId="3" fillId="0" borderId="0" xfId="42" applyNumberFormat="1" applyFont="1" applyAlignment="1">
      <alignment horizontal="right"/>
    </xf>
    <xf numFmtId="178" fontId="0" fillId="0" borderId="0" xfId="42" applyNumberFormat="1" applyFont="1" applyAlignment="1">
      <alignment horizontal="right"/>
    </xf>
    <xf numFmtId="178" fontId="12" fillId="35" borderId="10" xfId="42" applyNumberFormat="1" applyFont="1" applyFill="1" applyBorder="1" applyAlignment="1">
      <alignment horizontal="left"/>
    </xf>
    <xf numFmtId="178" fontId="8" fillId="35" borderId="11" xfId="42" applyNumberFormat="1" applyFont="1" applyFill="1" applyBorder="1" applyAlignment="1">
      <alignment horizontal="center"/>
    </xf>
    <xf numFmtId="178" fontId="3" fillId="0" borderId="0" xfId="42" applyNumberFormat="1" applyFont="1" applyAlignment="1">
      <alignment/>
    </xf>
    <xf numFmtId="178" fontId="5" fillId="0" borderId="14" xfId="42" applyNumberFormat="1" applyFont="1" applyBorder="1" applyAlignment="1">
      <alignment horizontal="right" vertical="top" wrapText="1"/>
    </xf>
    <xf numFmtId="178" fontId="5" fillId="0" borderId="13" xfId="42" applyNumberFormat="1" applyFont="1" applyBorder="1" applyAlignment="1">
      <alignment horizontal="right" vertical="top" wrapText="1"/>
    </xf>
    <xf numFmtId="178" fontId="3" fillId="0" borderId="0" xfId="42" applyNumberFormat="1" applyFont="1" applyAlignment="1">
      <alignment horizontal="right" wrapText="1"/>
    </xf>
    <xf numFmtId="178" fontId="3" fillId="0" borderId="13" xfId="42" applyNumberFormat="1" applyFont="1" applyBorder="1" applyAlignment="1">
      <alignment horizontal="right" wrapText="1"/>
    </xf>
    <xf numFmtId="178" fontId="0" fillId="0" borderId="0" xfId="42" applyNumberFormat="1" applyFont="1" applyAlignment="1">
      <alignment horizontal="right"/>
    </xf>
    <xf numFmtId="178" fontId="0" fillId="0" borderId="0" xfId="42" applyNumberFormat="1" applyFont="1" applyAlignment="1">
      <alignment/>
    </xf>
    <xf numFmtId="178" fontId="4" fillId="0" borderId="0" xfId="42" applyNumberFormat="1" applyFont="1" applyAlignment="1">
      <alignment horizontal="center" vertical="top" wrapText="1"/>
    </xf>
    <xf numFmtId="178" fontId="16" fillId="0" borderId="13" xfId="42" applyNumberFormat="1" applyFont="1" applyBorder="1" applyAlignment="1">
      <alignment horizontal="right" wrapText="1"/>
    </xf>
    <xf numFmtId="37" fontId="3" fillId="35" borderId="10" xfId="0" applyNumberFormat="1" applyFont="1" applyFill="1" applyBorder="1" applyAlignment="1">
      <alignment horizontal="right"/>
    </xf>
    <xf numFmtId="37" fontId="4" fillId="35" borderId="11" xfId="0" applyNumberFormat="1" applyFont="1" applyFill="1" applyBorder="1" applyAlignment="1">
      <alignment horizontal="center" wrapText="1"/>
    </xf>
    <xf numFmtId="37" fontId="4" fillId="35" borderId="11" xfId="0" applyNumberFormat="1" applyFont="1" applyFill="1" applyBorder="1" applyAlignment="1">
      <alignment horizontal="center"/>
    </xf>
    <xf numFmtId="37" fontId="4" fillId="0" borderId="0" xfId="0" applyNumberFormat="1" applyFont="1" applyAlignment="1">
      <alignment vertical="top" wrapText="1"/>
    </xf>
    <xf numFmtId="178" fontId="3" fillId="0" borderId="0" xfId="42" applyNumberFormat="1" applyFont="1" applyFill="1" applyAlignment="1">
      <alignment horizontal="right" wrapText="1"/>
    </xf>
    <xf numFmtId="37" fontId="3" fillId="0" borderId="0" xfId="42" applyNumberFormat="1" applyFont="1" applyAlignment="1">
      <alignment horizontal="right" wrapText="1"/>
    </xf>
    <xf numFmtId="0" fontId="3" fillId="0" borderId="0" xfId="42" applyNumberFormat="1" applyFont="1" applyFill="1" applyBorder="1" applyAlignment="1">
      <alignment horizontal="right" wrapText="1"/>
    </xf>
    <xf numFmtId="0" fontId="3" fillId="0" borderId="0" xfId="0" applyNumberFormat="1" applyFont="1" applyFill="1" applyBorder="1" applyAlignment="1">
      <alignment horizontal="right" wrapText="1"/>
    </xf>
    <xf numFmtId="37" fontId="3" fillId="0" borderId="0" xfId="0" applyNumberFormat="1" applyFont="1" applyBorder="1" applyAlignment="1">
      <alignment horizontal="right" wrapText="1"/>
    </xf>
    <xf numFmtId="37" fontId="22" fillId="0" borderId="0" xfId="0" applyNumberFormat="1" applyFont="1" applyFill="1" applyBorder="1" applyAlignment="1">
      <alignment horizontal="right" wrapText="1"/>
    </xf>
    <xf numFmtId="0" fontId="22" fillId="0" borderId="0" xfId="42" applyNumberFormat="1" applyFont="1" applyFill="1" applyBorder="1" applyAlignment="1">
      <alignment horizontal="right" wrapText="1"/>
    </xf>
    <xf numFmtId="37" fontId="5" fillId="0" borderId="0" xfId="0" applyNumberFormat="1" applyFont="1" applyFill="1" applyBorder="1" applyAlignment="1">
      <alignment horizontal="right" wrapText="1"/>
    </xf>
    <xf numFmtId="185" fontId="3" fillId="0" borderId="0" xfId="42" applyNumberFormat="1" applyFont="1" applyFill="1" applyBorder="1" applyAlignment="1">
      <alignment horizontal="right" wrapText="1"/>
    </xf>
    <xf numFmtId="176" fontId="22" fillId="0" borderId="0" xfId="0" applyNumberFormat="1" applyFont="1" applyFill="1" applyBorder="1" applyAlignment="1">
      <alignment horizontal="right" wrapText="1"/>
    </xf>
    <xf numFmtId="37" fontId="3" fillId="35" borderId="10" xfId="0" applyNumberFormat="1" applyFont="1" applyFill="1" applyBorder="1" applyAlignment="1">
      <alignment horizontal="right" wrapText="1"/>
    </xf>
    <xf numFmtId="39" fontId="3" fillId="0" borderId="0" xfId="42" applyNumberFormat="1" applyFont="1" applyFill="1" applyBorder="1" applyAlignment="1">
      <alignment horizontal="right" wrapText="1"/>
    </xf>
    <xf numFmtId="39" fontId="3" fillId="0" borderId="0" xfId="42" applyNumberFormat="1" applyFont="1" applyBorder="1" applyAlignment="1">
      <alignment horizontal="right" wrapText="1"/>
    </xf>
    <xf numFmtId="39" fontId="3" fillId="0" borderId="0" xfId="42" applyNumberFormat="1" applyFont="1" applyFill="1" applyBorder="1" applyAlignment="1">
      <alignment horizontal="left" wrapText="1"/>
    </xf>
    <xf numFmtId="176" fontId="3" fillId="0" borderId="0" xfId="42" applyNumberFormat="1" applyFont="1" applyFill="1" applyBorder="1" applyAlignment="1">
      <alignment horizontal="right" wrapText="1"/>
    </xf>
    <xf numFmtId="176" fontId="3" fillId="0" borderId="0" xfId="42" applyNumberFormat="1" applyFont="1" applyBorder="1" applyAlignment="1">
      <alignment horizontal="right" wrapText="1"/>
    </xf>
    <xf numFmtId="176" fontId="3" fillId="0" borderId="0" xfId="42" applyNumberFormat="1" applyFont="1" applyFill="1" applyBorder="1" applyAlignment="1">
      <alignment horizontal="left" wrapText="1"/>
    </xf>
    <xf numFmtId="37" fontId="19" fillId="34" borderId="0" xfId="0" applyNumberFormat="1" applyFont="1" applyFill="1" applyAlignment="1">
      <alignment horizontal="right" wrapText="1"/>
    </xf>
    <xf numFmtId="37" fontId="0" fillId="34" borderId="0" xfId="0" applyNumberFormat="1" applyFill="1" applyAlignment="1">
      <alignment horizontal="right" wrapText="1"/>
    </xf>
    <xf numFmtId="37" fontId="0" fillId="0" borderId="0" xfId="0" applyNumberFormat="1" applyFill="1" applyAlignment="1">
      <alignment horizontal="right" wrapText="1"/>
    </xf>
    <xf numFmtId="0" fontId="4" fillId="0" borderId="14" xfId="0" applyFont="1" applyBorder="1" applyAlignment="1">
      <alignment horizontal="right" vertical="top" wrapText="1"/>
    </xf>
    <xf numFmtId="0" fontId="4" fillId="0" borderId="13" xfId="0" applyFont="1" applyBorder="1" applyAlignment="1">
      <alignment horizontal="right" vertical="top" wrapText="1"/>
    </xf>
    <xf numFmtId="0" fontId="3" fillId="0" borderId="0" xfId="0" applyFont="1" applyAlignment="1">
      <alignment horizontal="right" vertical="top" wrapText="1"/>
    </xf>
    <xf numFmtId="178" fontId="3" fillId="0" borderId="0" xfId="42" applyNumberFormat="1" applyFont="1" applyAlignment="1">
      <alignment horizontal="right" vertical="top" wrapText="1"/>
    </xf>
    <xf numFmtId="178" fontId="3" fillId="35" borderId="10" xfId="42" applyNumberFormat="1" applyFont="1" applyFill="1" applyBorder="1" applyAlignment="1">
      <alignment horizontal="right"/>
    </xf>
    <xf numFmtId="178" fontId="4" fillId="35" borderId="11" xfId="42" applyNumberFormat="1" applyFont="1" applyFill="1" applyBorder="1" applyAlignment="1">
      <alignment horizontal="center"/>
    </xf>
    <xf numFmtId="178" fontId="3" fillId="0" borderId="0" xfId="42" applyNumberFormat="1" applyFont="1" applyAlignment="1">
      <alignment/>
    </xf>
    <xf numFmtId="178" fontId="4" fillId="0" borderId="14" xfId="42" applyNumberFormat="1" applyFont="1" applyBorder="1" applyAlignment="1">
      <alignment horizontal="right" vertical="top" wrapText="1"/>
    </xf>
    <xf numFmtId="178" fontId="4" fillId="0" borderId="13" xfId="42" applyNumberFormat="1" applyFont="1" applyBorder="1" applyAlignment="1">
      <alignment horizontal="right" vertical="top" wrapText="1"/>
    </xf>
    <xf numFmtId="37" fontId="5" fillId="0" borderId="0" xfId="0" applyNumberFormat="1" applyFont="1" applyFill="1" applyBorder="1" applyAlignment="1">
      <alignment wrapText="1"/>
    </xf>
    <xf numFmtId="37" fontId="8" fillId="35" borderId="0" xfId="0" applyNumberFormat="1" applyFont="1" applyFill="1" applyBorder="1" applyAlignment="1">
      <alignment horizontal="right" wrapText="1"/>
    </xf>
    <xf numFmtId="37" fontId="8" fillId="35" borderId="0" xfId="0" applyNumberFormat="1" applyFont="1" applyFill="1" applyBorder="1" applyAlignment="1">
      <alignment horizontal="center"/>
    </xf>
    <xf numFmtId="37" fontId="22" fillId="0" borderId="0" xfId="42" applyNumberFormat="1" applyFont="1" applyFill="1" applyBorder="1" applyAlignment="1">
      <alignment horizontal="right" wrapText="1"/>
    </xf>
    <xf numFmtId="178" fontId="8" fillId="35" borderId="11" xfId="42" applyNumberFormat="1" applyFont="1" applyFill="1" applyBorder="1" applyAlignment="1">
      <alignment horizontal="right"/>
    </xf>
    <xf numFmtId="37" fontId="13" fillId="35" borderId="0" xfId="53" applyNumberFormat="1" applyFont="1" applyFill="1" applyBorder="1" applyAlignment="1" applyProtection="1">
      <alignment horizontal="left"/>
      <protection/>
    </xf>
    <xf numFmtId="37" fontId="16" fillId="0" borderId="0" xfId="0" applyNumberFormat="1" applyFont="1" applyFill="1" applyBorder="1" applyAlignment="1">
      <alignment horizontal="right"/>
    </xf>
    <xf numFmtId="3" fontId="4" fillId="0" borderId="0" xfId="0" applyNumberFormat="1" applyFont="1" applyFill="1" applyBorder="1" applyAlignment="1">
      <alignment/>
    </xf>
    <xf numFmtId="3" fontId="3" fillId="0" borderId="0" xfId="0" applyNumberFormat="1" applyFont="1" applyFill="1" applyBorder="1" applyAlignment="1">
      <alignment horizontal="right" wrapText="1"/>
    </xf>
    <xf numFmtId="3" fontId="3" fillId="0" borderId="0" xfId="0" applyNumberFormat="1" applyFont="1" applyFill="1" applyAlignment="1">
      <alignment horizontal="right" wrapText="1"/>
    </xf>
    <xf numFmtId="39" fontId="3" fillId="0" borderId="0" xfId="0" applyNumberFormat="1" applyFont="1" applyFill="1" applyAlignment="1">
      <alignment horizontal="right" wrapText="1"/>
    </xf>
    <xf numFmtId="176" fontId="3" fillId="0" borderId="0" xfId="0" applyNumberFormat="1" applyFont="1" applyFill="1" applyAlignment="1">
      <alignment horizontal="right" wrapText="1"/>
    </xf>
    <xf numFmtId="176" fontId="22" fillId="0" borderId="0" xfId="0" applyNumberFormat="1" applyFont="1" applyFill="1" applyAlignment="1">
      <alignment horizontal="right" wrapText="1"/>
    </xf>
    <xf numFmtId="37" fontId="3" fillId="0" borderId="0" xfId="0" applyNumberFormat="1" applyFont="1" applyFill="1" applyAlignment="1">
      <alignment horizontal="right" wrapText="1"/>
    </xf>
    <xf numFmtId="39" fontId="17" fillId="0" borderId="0" xfId="0" applyNumberFormat="1" applyFont="1" applyFill="1" applyBorder="1" applyAlignment="1">
      <alignment horizontal="right"/>
    </xf>
    <xf numFmtId="2" fontId="4" fillId="0" borderId="0" xfId="0" applyNumberFormat="1" applyFont="1" applyFill="1" applyBorder="1" applyAlignment="1">
      <alignment/>
    </xf>
    <xf numFmtId="2" fontId="3" fillId="0" borderId="0" xfId="0" applyNumberFormat="1" applyFont="1" applyFill="1" applyBorder="1" applyAlignment="1">
      <alignment horizontal="right" wrapText="1"/>
    </xf>
    <xf numFmtId="37" fontId="22" fillId="34" borderId="0" xfId="0" applyNumberFormat="1" applyFont="1" applyFill="1" applyBorder="1" applyAlignment="1">
      <alignment horizontal="right" wrapText="1"/>
    </xf>
    <xf numFmtId="37" fontId="3" fillId="34" borderId="0" xfId="0" applyNumberFormat="1" applyFont="1" applyFill="1" applyBorder="1" applyAlignment="1">
      <alignment horizontal="right"/>
    </xf>
    <xf numFmtId="39" fontId="3" fillId="0" borderId="0" xfId="0" applyNumberFormat="1" applyFont="1" applyFill="1" applyBorder="1" applyAlignment="1">
      <alignment horizontal="right"/>
    </xf>
    <xf numFmtId="39" fontId="3" fillId="0" borderId="0" xfId="0" applyNumberFormat="1" applyFont="1" applyFill="1" applyBorder="1" applyAlignment="1">
      <alignment wrapText="1"/>
    </xf>
    <xf numFmtId="179" fontId="3" fillId="0" borderId="0" xfId="0" applyNumberFormat="1" applyFont="1" applyFill="1" applyBorder="1" applyAlignment="1">
      <alignment wrapText="1"/>
    </xf>
    <xf numFmtId="178" fontId="16" fillId="0" borderId="0" xfId="42" applyNumberFormat="1" applyFont="1" applyAlignment="1">
      <alignment horizontal="right" wrapText="1"/>
    </xf>
    <xf numFmtId="1" fontId="3" fillId="0" borderId="0" xfId="0" applyNumberFormat="1" applyFont="1" applyAlignment="1">
      <alignment/>
    </xf>
    <xf numFmtId="1" fontId="3" fillId="0" borderId="0" xfId="0" applyNumberFormat="1" applyFont="1" applyAlignment="1">
      <alignment/>
    </xf>
    <xf numFmtId="37" fontId="3" fillId="0" borderId="0" xfId="0" applyNumberFormat="1" applyFont="1" applyAlignment="1">
      <alignment horizontal="right" wrapText="1"/>
    </xf>
    <xf numFmtId="0" fontId="3" fillId="0" borderId="0" xfId="0" applyFont="1" applyAlignment="1">
      <alignment horizontal="right" wrapText="1"/>
    </xf>
    <xf numFmtId="0" fontId="3" fillId="0" borderId="12" xfId="0" applyFont="1" applyBorder="1" applyAlignment="1">
      <alignment horizontal="right" wrapText="1"/>
    </xf>
    <xf numFmtId="3" fontId="3" fillId="0" borderId="0" xfId="0" applyNumberFormat="1" applyFont="1" applyAlignment="1">
      <alignment horizontal="right" wrapText="1"/>
    </xf>
    <xf numFmtId="3" fontId="3" fillId="0" borderId="12" xfId="0" applyNumberFormat="1" applyFont="1" applyBorder="1" applyAlignment="1">
      <alignment horizontal="right" wrapText="1"/>
    </xf>
    <xf numFmtId="37" fontId="3" fillId="0" borderId="12" xfId="0" applyNumberFormat="1" applyFont="1" applyBorder="1" applyAlignment="1">
      <alignment horizontal="right" wrapText="1"/>
    </xf>
    <xf numFmtId="37" fontId="5" fillId="0" borderId="0" xfId="0" applyNumberFormat="1" applyFont="1" applyFill="1" applyBorder="1" applyAlignment="1">
      <alignment horizontal="right" wrapText="1"/>
    </xf>
    <xf numFmtId="37" fontId="5" fillId="0" borderId="0" xfId="0" applyNumberFormat="1" applyFont="1" applyFill="1" applyBorder="1" applyAlignment="1">
      <alignment horizontal="right"/>
    </xf>
    <xf numFmtId="37" fontId="22" fillId="0" borderId="0" xfId="0" applyNumberFormat="1" applyFont="1" applyFill="1" applyBorder="1" applyAlignment="1">
      <alignment horizontal="right"/>
    </xf>
    <xf numFmtId="0" fontId="3" fillId="0" borderId="0" xfId="0" applyFont="1" applyAlignment="1">
      <alignment horizontal="center" wrapText="1"/>
    </xf>
    <xf numFmtId="37" fontId="3" fillId="35" borderId="10" xfId="42" applyNumberFormat="1" applyFont="1" applyFill="1" applyBorder="1" applyAlignment="1">
      <alignment horizontal="right"/>
    </xf>
    <xf numFmtId="39" fontId="3" fillId="0" borderId="0" xfId="0" applyNumberFormat="1" applyFont="1" applyFill="1" applyBorder="1" applyAlignment="1">
      <alignment horizontal="left"/>
    </xf>
    <xf numFmtId="37" fontId="4" fillId="0" borderId="0" xfId="0" applyNumberFormat="1" applyFont="1" applyFill="1" applyBorder="1" applyAlignment="1">
      <alignment horizontal="right"/>
    </xf>
    <xf numFmtId="43" fontId="3" fillId="0" borderId="0" xfId="42" applyFont="1" applyFill="1" applyAlignment="1">
      <alignment horizontal="right" wrapText="1"/>
    </xf>
    <xf numFmtId="43" fontId="3" fillId="0" borderId="0" xfId="42" applyFont="1" applyAlignment="1">
      <alignment horizontal="right" wrapText="1"/>
    </xf>
    <xf numFmtId="0" fontId="3" fillId="0" borderId="13" xfId="0" applyFont="1" applyBorder="1" applyAlignment="1">
      <alignment horizontal="center" wrapText="1"/>
    </xf>
    <xf numFmtId="0" fontId="3" fillId="0" borderId="13" xfId="0" applyFont="1" applyBorder="1" applyAlignment="1">
      <alignment horizontal="right" wrapText="1"/>
    </xf>
    <xf numFmtId="3" fontId="16" fillId="0" borderId="0" xfId="0" applyNumberFormat="1" applyFont="1" applyAlignment="1">
      <alignment horizontal="right" wrapText="1"/>
    </xf>
    <xf numFmtId="178" fontId="3" fillId="0" borderId="12" xfId="0" applyNumberFormat="1" applyFont="1" applyBorder="1" applyAlignment="1">
      <alignment horizontal="right" wrapText="1"/>
    </xf>
    <xf numFmtId="178" fontId="3" fillId="0" borderId="12" xfId="42" applyNumberFormat="1" applyFont="1" applyFill="1" applyBorder="1" applyAlignment="1">
      <alignment horizontal="right" wrapText="1"/>
    </xf>
    <xf numFmtId="3" fontId="3" fillId="0" borderId="12" xfId="0" applyNumberFormat="1" applyFont="1" applyFill="1" applyBorder="1" applyAlignment="1">
      <alignment horizontal="right" wrapText="1"/>
    </xf>
    <xf numFmtId="178" fontId="3" fillId="0" borderId="12" xfId="42" applyNumberFormat="1" applyFont="1" applyBorder="1" applyAlignment="1">
      <alignment horizontal="right" wrapText="1"/>
    </xf>
    <xf numFmtId="37" fontId="3" fillId="0" borderId="15" xfId="0" applyNumberFormat="1" applyFont="1" applyBorder="1" applyAlignment="1">
      <alignment horizontal="right" wrapText="1"/>
    </xf>
    <xf numFmtId="178" fontId="3" fillId="0" borderId="12" xfId="42" applyNumberFormat="1" applyFont="1" applyFill="1" applyBorder="1" applyAlignment="1">
      <alignment horizontal="right" wrapText="1"/>
    </xf>
    <xf numFmtId="176" fontId="5" fillId="0" borderId="0" xfId="0" applyNumberFormat="1" applyFont="1" applyFill="1" applyBorder="1" applyAlignment="1">
      <alignment horizontal="right" wrapText="1"/>
    </xf>
    <xf numFmtId="176" fontId="5" fillId="0" borderId="0" xfId="0" applyNumberFormat="1" applyFont="1" applyFill="1" applyBorder="1" applyAlignment="1">
      <alignment horizontal="right"/>
    </xf>
    <xf numFmtId="176" fontId="22" fillId="0" borderId="0" xfId="0" applyNumberFormat="1" applyFont="1" applyFill="1" applyBorder="1" applyAlignment="1">
      <alignment horizontal="right"/>
    </xf>
    <xf numFmtId="178" fontId="4" fillId="0" borderId="0" xfId="42" applyNumberFormat="1" applyFont="1" applyFill="1" applyBorder="1" applyAlignment="1">
      <alignment horizontal="right" wrapText="1"/>
    </xf>
    <xf numFmtId="37" fontId="4" fillId="0" borderId="0" xfId="42" applyNumberFormat="1" applyFont="1" applyFill="1" applyBorder="1" applyAlignment="1">
      <alignment horizontal="right" wrapText="1"/>
    </xf>
    <xf numFmtId="37" fontId="4" fillId="0" borderId="0" xfId="0" applyNumberFormat="1" applyFont="1" applyFill="1" applyBorder="1" applyAlignment="1">
      <alignment wrapText="1"/>
    </xf>
    <xf numFmtId="0" fontId="3" fillId="0" borderId="0" xfId="0" applyFont="1" applyAlignment="1">
      <alignment horizontal="left" vertical="top" wrapText="1" indent="1"/>
    </xf>
    <xf numFmtId="0" fontId="25" fillId="0" borderId="0" xfId="0" applyFont="1" applyAlignment="1">
      <alignment horizontal="right" wrapText="1"/>
    </xf>
    <xf numFmtId="37" fontId="3" fillId="34" borderId="0" xfId="0" applyNumberFormat="1" applyFont="1" applyFill="1" applyBorder="1" applyAlignment="1">
      <alignment wrapText="1"/>
    </xf>
    <xf numFmtId="39" fontId="3" fillId="34" borderId="0" xfId="0" applyNumberFormat="1" applyFont="1" applyFill="1" applyBorder="1" applyAlignment="1">
      <alignment wrapText="1"/>
    </xf>
    <xf numFmtId="179" fontId="3" fillId="34" borderId="0" xfId="0" applyNumberFormat="1" applyFont="1" applyFill="1" applyBorder="1" applyAlignment="1">
      <alignment wrapText="1"/>
    </xf>
    <xf numFmtId="178" fontId="3" fillId="0" borderId="0" xfId="0" applyNumberFormat="1" applyFont="1" applyAlignment="1">
      <alignment/>
    </xf>
    <xf numFmtId="3" fontId="3" fillId="0" borderId="12" xfId="0" applyNumberFormat="1" applyFont="1" applyBorder="1" applyAlignment="1">
      <alignment horizontal="right"/>
    </xf>
    <xf numFmtId="0" fontId="16" fillId="0" borderId="0" xfId="0" applyFont="1" applyAlignment="1">
      <alignment horizontal="center" vertical="top" wrapText="1"/>
    </xf>
    <xf numFmtId="0" fontId="16" fillId="0" borderId="0" xfId="0" applyFont="1" applyAlignment="1">
      <alignment horizontal="center" wrapText="1"/>
    </xf>
    <xf numFmtId="0" fontId="16" fillId="0" borderId="0" xfId="0" applyFont="1" applyAlignment="1">
      <alignment horizontal="righ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3" fillId="0" borderId="13" xfId="0" applyNumberFormat="1" applyFont="1" applyBorder="1" applyAlignment="1">
      <alignment horizontal="right"/>
    </xf>
    <xf numFmtId="3" fontId="3" fillId="0" borderId="13" xfId="0" applyNumberFormat="1" applyFont="1" applyBorder="1" applyAlignment="1">
      <alignment horizontal="right"/>
    </xf>
    <xf numFmtId="3" fontId="3" fillId="0" borderId="12" xfId="0" applyNumberFormat="1" applyFont="1" applyBorder="1" applyAlignment="1">
      <alignment horizontal="right"/>
    </xf>
    <xf numFmtId="3" fontId="16" fillId="0" borderId="0" xfId="0" applyNumberFormat="1" applyFont="1" applyBorder="1" applyAlignment="1">
      <alignment horizontal="right" wrapText="1"/>
    </xf>
    <xf numFmtId="37" fontId="3" fillId="35" borderId="10" xfId="0" applyNumberFormat="1" applyFont="1" applyFill="1" applyBorder="1" applyAlignment="1">
      <alignment horizontal="right"/>
    </xf>
    <xf numFmtId="39" fontId="3" fillId="0" borderId="0" xfId="42" applyNumberFormat="1" applyFont="1" applyFill="1" applyBorder="1" applyAlignment="1">
      <alignment horizontal="right" wrapText="1"/>
    </xf>
    <xf numFmtId="0" fontId="4" fillId="0" borderId="13" xfId="0" applyNumberFormat="1" applyFont="1" applyBorder="1" applyAlignment="1">
      <alignment horizontal="center" vertical="top" wrapText="1"/>
    </xf>
    <xf numFmtId="37" fontId="3" fillId="0" borderId="0" xfId="0" applyNumberFormat="1" applyFont="1" applyBorder="1" applyAlignment="1">
      <alignment horizontal="right" wrapText="1"/>
    </xf>
    <xf numFmtId="37" fontId="26" fillId="34" borderId="0" xfId="0" applyNumberFormat="1" applyFont="1" applyFill="1" applyBorder="1" applyAlignment="1">
      <alignment horizontal="right" wrapText="1"/>
    </xf>
    <xf numFmtId="37" fontId="27" fillId="34" borderId="0" xfId="0" applyNumberFormat="1" applyFont="1" applyFill="1" applyBorder="1" applyAlignment="1">
      <alignment horizontal="right" wrapText="1"/>
    </xf>
    <xf numFmtId="37" fontId="27" fillId="0" borderId="0" xfId="0" applyNumberFormat="1" applyFont="1" applyFill="1" applyBorder="1" applyAlignment="1">
      <alignment horizontal="right" wrapText="1"/>
    </xf>
    <xf numFmtId="37" fontId="26" fillId="0" borderId="0" xfId="0" applyNumberFormat="1" applyFont="1" applyFill="1" applyBorder="1" applyAlignment="1">
      <alignment horizontal="right" wrapText="1"/>
    </xf>
    <xf numFmtId="37" fontId="28" fillId="34" borderId="0" xfId="0" applyNumberFormat="1" applyFont="1" applyFill="1" applyAlignment="1">
      <alignment horizontal="right" wrapText="1"/>
    </xf>
    <xf numFmtId="0" fontId="28" fillId="34" borderId="0" xfId="0" applyFont="1" applyFill="1" applyAlignment="1">
      <alignment horizontal="right" wrapText="1"/>
    </xf>
    <xf numFmtId="37" fontId="27" fillId="0" borderId="0" xfId="0" applyNumberFormat="1" applyFont="1" applyAlignment="1">
      <alignment horizontal="right" vertical="top" wrapText="1"/>
    </xf>
    <xf numFmtId="37" fontId="27" fillId="0" borderId="0" xfId="0" applyNumberFormat="1" applyFont="1" applyAlignment="1">
      <alignment horizontal="right" wrapText="1"/>
    </xf>
    <xf numFmtId="37" fontId="27" fillId="0" borderId="13" xfId="0" applyNumberFormat="1" applyFont="1" applyBorder="1" applyAlignment="1">
      <alignment horizontal="right" wrapText="1"/>
    </xf>
    <xf numFmtId="37" fontId="26" fillId="0" borderId="0" xfId="42" applyNumberFormat="1" applyFont="1" applyAlignment="1">
      <alignment horizontal="right"/>
    </xf>
    <xf numFmtId="37" fontId="26" fillId="0" borderId="0" xfId="0" applyNumberFormat="1" applyFont="1" applyAlignment="1">
      <alignment horizontal="right"/>
    </xf>
    <xf numFmtId="37" fontId="28" fillId="0" borderId="0" xfId="0" applyNumberFormat="1" applyFont="1" applyAlignment="1">
      <alignment horizontal="right"/>
    </xf>
    <xf numFmtId="0" fontId="27" fillId="0" borderId="0" xfId="0" applyFont="1" applyAlignment="1">
      <alignment horizontal="center" vertical="top" wrapText="1"/>
    </xf>
    <xf numFmtId="0" fontId="26" fillId="0" borderId="0" xfId="0" applyFont="1" applyAlignment="1">
      <alignment horizontal="right" vertical="top" wrapText="1"/>
    </xf>
    <xf numFmtId="0" fontId="26" fillId="0" borderId="0" xfId="0" applyFont="1" applyAlignment="1">
      <alignment horizontal="right" wrapText="1"/>
    </xf>
    <xf numFmtId="0" fontId="26" fillId="0" borderId="13" xfId="0" applyFont="1" applyBorder="1" applyAlignment="1">
      <alignment horizontal="right" wrapText="1"/>
    </xf>
    <xf numFmtId="0" fontId="26" fillId="0" borderId="0" xfId="0" applyFont="1" applyAlignment="1">
      <alignment horizontal="right"/>
    </xf>
    <xf numFmtId="0" fontId="28" fillId="0" borderId="0" xfId="0" applyFont="1" applyAlignment="1">
      <alignment horizontal="right"/>
    </xf>
    <xf numFmtId="0" fontId="26" fillId="0" borderId="13" xfId="0" applyFont="1" applyBorder="1" applyAlignment="1">
      <alignment horizontal="center" wrapText="1"/>
    </xf>
    <xf numFmtId="0" fontId="26" fillId="0" borderId="0" xfId="0" applyFont="1" applyAlignment="1">
      <alignment/>
    </xf>
    <xf numFmtId="178" fontId="3" fillId="34" borderId="0" xfId="42" applyNumberFormat="1" applyFont="1" applyFill="1" applyAlignment="1">
      <alignment horizontal="right" wrapText="1"/>
    </xf>
    <xf numFmtId="37" fontId="3" fillId="34" borderId="0" xfId="42" applyNumberFormat="1" applyFont="1" applyFill="1" applyAlignment="1">
      <alignment horizontal="right" wrapText="1"/>
    </xf>
    <xf numFmtId="3" fontId="3" fillId="0" borderId="0" xfId="0" applyNumberFormat="1" applyFont="1" applyFill="1" applyAlignment="1">
      <alignment horizontal="right" wrapText="1"/>
    </xf>
    <xf numFmtId="0" fontId="3" fillId="0" borderId="12" xfId="0" applyFont="1" applyFill="1" applyBorder="1" applyAlignment="1">
      <alignment horizontal="right" wrapText="1"/>
    </xf>
    <xf numFmtId="0" fontId="3" fillId="0" borderId="0" xfId="0" applyFont="1" applyFill="1" applyAlignment="1">
      <alignment horizontal="right" wrapText="1"/>
    </xf>
    <xf numFmtId="37" fontId="5" fillId="34" borderId="0" xfId="0" applyNumberFormat="1" applyFont="1" applyFill="1" applyBorder="1" applyAlignment="1">
      <alignment horizontal="right" wrapText="1"/>
    </xf>
    <xf numFmtId="37" fontId="29" fillId="0" borderId="0" xfId="0" applyNumberFormat="1" applyFont="1" applyFill="1" applyBorder="1" applyAlignment="1">
      <alignment horizontal="right" wrapText="1"/>
    </xf>
    <xf numFmtId="37" fontId="29" fillId="34" borderId="0" xfId="0" applyNumberFormat="1" applyFont="1" applyFill="1" applyBorder="1" applyAlignment="1">
      <alignment horizontal="right" wrapText="1"/>
    </xf>
    <xf numFmtId="0" fontId="5" fillId="0" borderId="0" xfId="0" applyFont="1" applyAlignment="1">
      <alignment horizontal="left" vertical="top" wrapText="1" indent="1"/>
    </xf>
    <xf numFmtId="37" fontId="3" fillId="0" borderId="0" xfId="0" applyNumberFormat="1" applyFont="1" applyAlignment="1">
      <alignment horizontal="right" vertical="top" wrapText="1"/>
    </xf>
    <xf numFmtId="37" fontId="16" fillId="0" borderId="13" xfId="0" applyNumberFormat="1" applyFont="1" applyBorder="1" applyAlignment="1">
      <alignment horizontal="right" wrapText="1"/>
    </xf>
    <xf numFmtId="37" fontId="3" fillId="0" borderId="13" xfId="0" applyNumberFormat="1" applyFont="1" applyBorder="1" applyAlignment="1">
      <alignment horizontal="right" wrapText="1"/>
    </xf>
    <xf numFmtId="37" fontId="3" fillId="34" borderId="0" xfId="0" applyNumberFormat="1" applyFont="1" applyFill="1" applyAlignment="1">
      <alignment horizontal="right" wrapText="1"/>
    </xf>
    <xf numFmtId="0" fontId="3" fillId="34" borderId="0" xfId="0" applyFont="1" applyFill="1" applyAlignment="1">
      <alignment horizontal="right" wrapText="1"/>
    </xf>
    <xf numFmtId="37" fontId="21" fillId="34" borderId="0" xfId="42" applyNumberFormat="1" applyFont="1" applyFill="1" applyAlignment="1">
      <alignment horizontal="right" wrapText="1"/>
    </xf>
    <xf numFmtId="178" fontId="21" fillId="0" borderId="0" xfId="42" applyNumberFormat="1" applyFont="1" applyFill="1" applyAlignment="1">
      <alignment horizontal="right" wrapText="1"/>
    </xf>
    <xf numFmtId="178" fontId="21" fillId="34" borderId="0" xfId="42" applyNumberFormat="1" applyFont="1" applyFill="1" applyAlignment="1">
      <alignment horizontal="right" wrapText="1"/>
    </xf>
    <xf numFmtId="37" fontId="0" fillId="34" borderId="0" xfId="0" applyNumberFormat="1" applyFont="1" applyFill="1" applyAlignment="1">
      <alignment horizontal="right" wrapText="1"/>
    </xf>
    <xf numFmtId="0" fontId="0" fillId="0" borderId="0" xfId="0" applyFont="1" applyFill="1" applyAlignment="1">
      <alignment horizontal="right" wrapText="1"/>
    </xf>
    <xf numFmtId="0" fontId="0" fillId="34" borderId="0" xfId="0" applyFont="1" applyFill="1" applyAlignment="1">
      <alignment horizontal="right" wrapText="1"/>
    </xf>
    <xf numFmtId="178" fontId="18" fillId="0" borderId="0" xfId="42" applyNumberFormat="1" applyFont="1" applyFill="1" applyAlignment="1">
      <alignment horizontal="right" wrapText="1"/>
    </xf>
    <xf numFmtId="0" fontId="9" fillId="0" borderId="0" xfId="0" applyFont="1" applyAlignment="1">
      <alignment/>
    </xf>
    <xf numFmtId="1" fontId="9" fillId="0" borderId="0" xfId="0" applyNumberFormat="1" applyFont="1" applyAlignment="1">
      <alignment/>
    </xf>
    <xf numFmtId="176" fontId="3" fillId="0" borderId="0" xfId="0" applyNumberFormat="1" applyFont="1" applyFill="1" applyBorder="1" applyAlignment="1">
      <alignment horizontal="right" wrapText="1"/>
    </xf>
    <xf numFmtId="178" fontId="4" fillId="34" borderId="0" xfId="42" applyNumberFormat="1" applyFont="1" applyFill="1" applyBorder="1" applyAlignment="1">
      <alignment horizontal="right" wrapText="1"/>
    </xf>
    <xf numFmtId="176" fontId="23" fillId="0" borderId="0" xfId="0" applyNumberFormat="1" applyFont="1" applyFill="1" applyBorder="1" applyAlignment="1">
      <alignment horizontal="right" wrapText="1"/>
    </xf>
    <xf numFmtId="37" fontId="23" fillId="0" borderId="0" xfId="0" applyNumberFormat="1" applyFont="1" applyFill="1" applyBorder="1" applyAlignment="1">
      <alignment horizontal="right" wrapText="1"/>
    </xf>
    <xf numFmtId="176" fontId="3" fillId="0" borderId="0" xfId="42" applyNumberFormat="1" applyFont="1" applyFill="1" applyBorder="1" applyAlignment="1">
      <alignment horizontal="right" wrapText="1"/>
    </xf>
    <xf numFmtId="37" fontId="30" fillId="34" borderId="0" xfId="42" applyNumberFormat="1" applyFont="1" applyFill="1" applyAlignment="1">
      <alignment horizontal="right" wrapText="1"/>
    </xf>
    <xf numFmtId="178" fontId="30" fillId="34" borderId="0" xfId="42" applyNumberFormat="1" applyFont="1" applyFill="1" applyAlignment="1">
      <alignment horizontal="right" wrapText="1"/>
    </xf>
    <xf numFmtId="37" fontId="3" fillId="37" borderId="0" xfId="0" applyNumberFormat="1" applyFont="1" applyFill="1" applyBorder="1" applyAlignment="1">
      <alignment horizontal="right" wrapText="1"/>
    </xf>
    <xf numFmtId="37" fontId="3" fillId="37" borderId="0" xfId="0" applyNumberFormat="1" applyFont="1" applyFill="1" applyAlignment="1">
      <alignment horizontal="right" wrapText="1"/>
    </xf>
    <xf numFmtId="3" fontId="3" fillId="37" borderId="0" xfId="0" applyNumberFormat="1" applyFont="1" applyFill="1" applyAlignment="1">
      <alignment horizontal="right" wrapText="1"/>
    </xf>
    <xf numFmtId="39" fontId="16" fillId="34" borderId="0" xfId="0" applyNumberFormat="1" applyFont="1" applyFill="1" applyBorder="1" applyAlignment="1">
      <alignment horizontal="right" wrapText="1"/>
    </xf>
    <xf numFmtId="39" fontId="17" fillId="34" borderId="0" xfId="0" applyNumberFormat="1" applyFont="1" applyFill="1" applyBorder="1" applyAlignment="1">
      <alignment horizontal="right" wrapText="1"/>
    </xf>
    <xf numFmtId="176" fontId="16" fillId="34" borderId="0" xfId="0" applyNumberFormat="1" applyFont="1" applyFill="1" applyBorder="1" applyAlignment="1">
      <alignment horizontal="right" wrapText="1"/>
    </xf>
    <xf numFmtId="37" fontId="17" fillId="0" borderId="0" xfId="0" applyNumberFormat="1" applyFont="1" applyBorder="1" applyAlignment="1">
      <alignment horizontal="right" wrapText="1"/>
    </xf>
    <xf numFmtId="0" fontId="16" fillId="0" borderId="0" xfId="0" applyFont="1" applyAlignment="1">
      <alignment horizontal="right" vertical="top" wrapText="1"/>
    </xf>
    <xf numFmtId="37" fontId="4" fillId="0" borderId="0" xfId="0" applyNumberFormat="1" applyFont="1" applyBorder="1" applyAlignment="1">
      <alignment horizontal="right" wrapText="1"/>
    </xf>
    <xf numFmtId="178" fontId="4" fillId="0" borderId="0" xfId="42" applyNumberFormat="1" applyFont="1" applyAlignment="1">
      <alignment horizontal="right" wrapText="1"/>
    </xf>
    <xf numFmtId="37" fontId="4" fillId="0" borderId="12" xfId="0" applyNumberFormat="1" applyFont="1" applyBorder="1" applyAlignment="1">
      <alignment horizontal="right" wrapText="1"/>
    </xf>
    <xf numFmtId="37" fontId="31" fillId="0" borderId="13" xfId="0" applyNumberFormat="1" applyFont="1" applyBorder="1" applyAlignment="1">
      <alignment horizontal="right" wrapText="1"/>
    </xf>
    <xf numFmtId="3" fontId="4" fillId="0" borderId="0" xfId="0" applyNumberFormat="1" applyFont="1" applyAlignment="1">
      <alignment horizontal="right" wrapText="1"/>
    </xf>
    <xf numFmtId="185" fontId="4" fillId="0" borderId="0" xfId="0" applyNumberFormat="1" applyFont="1" applyAlignment="1">
      <alignment horizontal="right" wrapText="1"/>
    </xf>
    <xf numFmtId="3" fontId="4" fillId="0" borderId="15" xfId="0" applyNumberFormat="1" applyFont="1" applyBorder="1" applyAlignment="1">
      <alignment horizontal="right" wrapText="1"/>
    </xf>
    <xf numFmtId="0" fontId="4" fillId="0" borderId="12" xfId="0" applyFont="1" applyBorder="1" applyAlignment="1">
      <alignment horizontal="right" wrapText="1"/>
    </xf>
    <xf numFmtId="3" fontId="4" fillId="34" borderId="0" xfId="0" applyNumberFormat="1" applyFont="1" applyFill="1" applyBorder="1" applyAlignment="1">
      <alignment horizontal="right"/>
    </xf>
    <xf numFmtId="3" fontId="3" fillId="34" borderId="0" xfId="0" applyNumberFormat="1" applyFont="1" applyFill="1" applyAlignment="1">
      <alignment horizontal="right" wrapText="1"/>
    </xf>
    <xf numFmtId="3" fontId="4" fillId="34" borderId="0" xfId="0" applyNumberFormat="1" applyFont="1" applyFill="1" applyBorder="1" applyAlignment="1">
      <alignment/>
    </xf>
    <xf numFmtId="3" fontId="3" fillId="0" borderId="0" xfId="0" applyNumberFormat="1" applyFont="1" applyFill="1" applyBorder="1" applyAlignment="1">
      <alignment horizontal="right" wrapText="1"/>
    </xf>
    <xf numFmtId="3" fontId="3" fillId="34" borderId="0" xfId="0" applyNumberFormat="1" applyFont="1" applyFill="1" applyBorder="1" applyAlignment="1">
      <alignment horizontal="right" wrapText="1"/>
    </xf>
    <xf numFmtId="39" fontId="4" fillId="34" borderId="0" xfId="0" applyNumberFormat="1" applyFont="1" applyFill="1" applyBorder="1" applyAlignment="1">
      <alignment horizontal="right"/>
    </xf>
    <xf numFmtId="2" fontId="4" fillId="34" borderId="0" xfId="0" applyNumberFormat="1" applyFont="1" applyFill="1" applyBorder="1" applyAlignment="1">
      <alignment/>
    </xf>
    <xf numFmtId="2" fontId="3" fillId="34" borderId="0" xfId="0" applyNumberFormat="1" applyFont="1" applyFill="1" applyBorder="1" applyAlignment="1">
      <alignment horizontal="right" wrapText="1"/>
    </xf>
    <xf numFmtId="2" fontId="3" fillId="0" borderId="0" xfId="0" applyNumberFormat="1" applyFont="1" applyFill="1" applyBorder="1" applyAlignment="1">
      <alignment horizontal="right" wrapText="1"/>
    </xf>
    <xf numFmtId="37" fontId="4" fillId="34" borderId="0"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3" fontId="3" fillId="34" borderId="0" xfId="0" applyNumberFormat="1" applyFont="1" applyFill="1" applyBorder="1" applyAlignment="1">
      <alignment horizontal="right" wrapText="1"/>
    </xf>
    <xf numFmtId="3" fontId="4" fillId="34" borderId="0" xfId="0" applyNumberFormat="1" applyFont="1" applyFill="1" applyBorder="1" applyAlignment="1">
      <alignment horizontal="right" wrapText="1"/>
    </xf>
    <xf numFmtId="0" fontId="3" fillId="34" borderId="0" xfId="0" applyFont="1" applyFill="1" applyBorder="1" applyAlignment="1">
      <alignment horizontal="right" wrapText="1"/>
    </xf>
    <xf numFmtId="178" fontId="4" fillId="0" borderId="12" xfId="42" applyNumberFormat="1" applyFont="1" applyBorder="1" applyAlignment="1">
      <alignment horizontal="right" wrapText="1"/>
    </xf>
    <xf numFmtId="37" fontId="3" fillId="0" borderId="0" xfId="0" applyNumberFormat="1" applyFont="1" applyFill="1" applyAlignment="1">
      <alignment horizontal="right" wrapText="1"/>
    </xf>
    <xf numFmtId="185" fontId="4" fillId="0" borderId="0" xfId="0" applyNumberFormat="1" applyFont="1" applyFill="1" applyAlignment="1">
      <alignment horizontal="right" wrapText="1"/>
    </xf>
    <xf numFmtId="37" fontId="23" fillId="34" borderId="0" xfId="0" applyNumberFormat="1" applyFont="1" applyFill="1" applyBorder="1" applyAlignment="1">
      <alignment horizontal="right" wrapText="1"/>
    </xf>
    <xf numFmtId="176" fontId="4" fillId="34" borderId="0" xfId="0" applyNumberFormat="1" applyFont="1" applyFill="1" applyBorder="1" applyAlignment="1">
      <alignment horizontal="right" wrapText="1"/>
    </xf>
    <xf numFmtId="176" fontId="3" fillId="34" borderId="0" xfId="0" applyNumberFormat="1" applyFont="1" applyFill="1" applyBorder="1" applyAlignment="1">
      <alignment horizontal="right" wrapText="1"/>
    </xf>
    <xf numFmtId="0" fontId="3" fillId="34" borderId="0" xfId="42" applyNumberFormat="1" applyFont="1" applyFill="1" applyBorder="1" applyAlignment="1">
      <alignment horizontal="right" wrapText="1"/>
    </xf>
    <xf numFmtId="43" fontId="3" fillId="0" borderId="0" xfId="42" applyFont="1" applyFill="1" applyBorder="1" applyAlignment="1">
      <alignment horizontal="right" wrapText="1"/>
    </xf>
    <xf numFmtId="39" fontId="3" fillId="34" borderId="0" xfId="0" applyNumberFormat="1" applyFont="1" applyFill="1" applyAlignment="1">
      <alignment horizontal="right" wrapText="1"/>
    </xf>
    <xf numFmtId="39" fontId="3" fillId="34" borderId="0" xfId="0" applyNumberFormat="1" applyFont="1" applyFill="1" applyBorder="1" applyAlignment="1">
      <alignment horizontal="right" wrapText="1"/>
    </xf>
    <xf numFmtId="2" fontId="3" fillId="0" borderId="0" xfId="0" applyNumberFormat="1" applyFont="1" applyAlignment="1">
      <alignment horizontal="right" wrapText="1"/>
    </xf>
    <xf numFmtId="176" fontId="3" fillId="34" borderId="0" xfId="0" applyNumberFormat="1" applyFont="1" applyFill="1" applyAlignment="1">
      <alignment horizontal="right" wrapText="1"/>
    </xf>
    <xf numFmtId="177" fontId="4" fillId="34" borderId="0" xfId="42" applyNumberFormat="1" applyFont="1" applyFill="1" applyBorder="1" applyAlignment="1">
      <alignment horizontal="right" wrapText="1"/>
    </xf>
    <xf numFmtId="3" fontId="4" fillId="0" borderId="12" xfId="0" applyNumberFormat="1" applyFont="1" applyBorder="1" applyAlignment="1">
      <alignment horizontal="right" wrapText="1"/>
    </xf>
    <xf numFmtId="3" fontId="4" fillId="0" borderId="12" xfId="0" applyNumberFormat="1" applyFont="1" applyFill="1" applyBorder="1" applyAlignment="1">
      <alignment horizontal="right" wrapText="1"/>
    </xf>
    <xf numFmtId="178" fontId="3" fillId="0" borderId="15" xfId="42" applyNumberFormat="1" applyFont="1" applyBorder="1" applyAlignment="1">
      <alignment horizontal="right" wrapText="1"/>
    </xf>
    <xf numFmtId="178" fontId="4" fillId="0" borderId="12" xfId="42" applyNumberFormat="1" applyFont="1" applyFill="1" applyBorder="1" applyAlignment="1">
      <alignment horizontal="right" wrapText="1"/>
    </xf>
    <xf numFmtId="178" fontId="4" fillId="0" borderId="12" xfId="0" applyNumberFormat="1" applyFont="1" applyBorder="1" applyAlignment="1">
      <alignment horizontal="right" wrapText="1"/>
    </xf>
    <xf numFmtId="192" fontId="3" fillId="0" borderId="15" xfId="42" applyNumberFormat="1" applyFont="1" applyBorder="1" applyAlignment="1">
      <alignment horizontal="right" wrapText="1"/>
    </xf>
    <xf numFmtId="37" fontId="3" fillId="0" borderId="0" xfId="42" applyNumberFormat="1" applyFont="1" applyFill="1" applyAlignment="1">
      <alignment horizontal="right" wrapText="1"/>
    </xf>
    <xf numFmtId="37" fontId="3" fillId="0" borderId="12" xfId="0" applyNumberFormat="1" applyFont="1" applyFill="1" applyBorder="1" applyAlignment="1">
      <alignment horizontal="right" wrapText="1"/>
    </xf>
    <xf numFmtId="37" fontId="3" fillId="0" borderId="0" xfId="42" applyNumberFormat="1" applyFont="1" applyAlignment="1">
      <alignment horizontal="right" wrapText="1"/>
    </xf>
    <xf numFmtId="37" fontId="3" fillId="0" borderId="15" xfId="0" applyNumberFormat="1" applyFont="1" applyFill="1" applyBorder="1" applyAlignment="1">
      <alignment horizontal="right" wrapText="1"/>
    </xf>
    <xf numFmtId="178" fontId="3" fillId="0" borderId="15" xfId="42" applyNumberFormat="1" applyFont="1" applyFill="1" applyBorder="1" applyAlignment="1">
      <alignment horizontal="right" wrapText="1"/>
    </xf>
    <xf numFmtId="192" fontId="3" fillId="0" borderId="0" xfId="42" applyNumberFormat="1" applyFont="1" applyFill="1" applyAlignment="1">
      <alignment horizontal="right" wrapText="1"/>
    </xf>
    <xf numFmtId="192" fontId="4" fillId="0" borderId="0" xfId="0" applyNumberFormat="1" applyFont="1" applyAlignment="1">
      <alignment horizontal="right" wrapText="1"/>
    </xf>
    <xf numFmtId="0" fontId="17" fillId="0" borderId="0" xfId="0" applyFont="1" applyAlignment="1">
      <alignment horizontal="right" wrapText="1"/>
    </xf>
    <xf numFmtId="0" fontId="16" fillId="0" borderId="0" xfId="0" applyFont="1" applyAlignment="1">
      <alignment horizontal="right" wrapText="1"/>
    </xf>
    <xf numFmtId="3" fontId="16" fillId="0" borderId="0" xfId="0" applyNumberFormat="1" applyFont="1" applyAlignment="1">
      <alignment horizontal="right" wrapText="1"/>
    </xf>
    <xf numFmtId="3" fontId="16" fillId="0" borderId="0" xfId="0" applyNumberFormat="1" applyFont="1" applyBorder="1" applyAlignment="1">
      <alignment horizontal="right" wrapText="1"/>
    </xf>
    <xf numFmtId="0" fontId="4" fillId="0" borderId="14" xfId="42" applyNumberFormat="1" applyFont="1" applyBorder="1" applyAlignment="1">
      <alignment horizontal="center" vertical="top" wrapText="1"/>
    </xf>
    <xf numFmtId="39" fontId="16" fillId="34" borderId="0" xfId="0" applyNumberFormat="1" applyFont="1" applyFill="1" applyBorder="1" applyAlignment="1">
      <alignment horizontal="right" wrapText="1"/>
    </xf>
    <xf numFmtId="39" fontId="17" fillId="34" borderId="0" xfId="0" applyNumberFormat="1" applyFont="1" applyFill="1" applyBorder="1" applyAlignment="1">
      <alignment horizontal="right" wrapText="1"/>
    </xf>
    <xf numFmtId="37" fontId="16" fillId="34" borderId="0" xfId="0" applyNumberFormat="1" applyFont="1" applyFill="1" applyBorder="1" applyAlignment="1">
      <alignment horizontal="right" wrapText="1"/>
    </xf>
    <xf numFmtId="37" fontId="17" fillId="34" borderId="0" xfId="0" applyNumberFormat="1" applyFont="1" applyFill="1" applyBorder="1" applyAlignment="1">
      <alignment horizontal="right" wrapText="1"/>
    </xf>
    <xf numFmtId="176" fontId="16" fillId="34" borderId="0" xfId="0" applyNumberFormat="1" applyFont="1" applyFill="1" applyBorder="1" applyAlignment="1">
      <alignment horizontal="right" wrapText="1"/>
    </xf>
    <xf numFmtId="178" fontId="16" fillId="34" borderId="0" xfId="42" applyNumberFormat="1" applyFont="1" applyFill="1" applyBorder="1" applyAlignment="1">
      <alignment horizontal="right" wrapText="1"/>
    </xf>
    <xf numFmtId="178" fontId="17" fillId="34" borderId="0" xfId="42" applyNumberFormat="1" applyFont="1" applyFill="1" applyBorder="1" applyAlignment="1">
      <alignment horizontal="right" wrapText="1"/>
    </xf>
    <xf numFmtId="177" fontId="17" fillId="34" borderId="0" xfId="42" applyNumberFormat="1" applyFont="1" applyFill="1" applyBorder="1" applyAlignment="1">
      <alignment horizontal="right" wrapText="1"/>
    </xf>
    <xf numFmtId="37" fontId="3" fillId="0" borderId="12" xfId="42" applyNumberFormat="1" applyFont="1" applyFill="1" applyBorder="1" applyAlignment="1">
      <alignment horizontal="right" wrapText="1"/>
    </xf>
    <xf numFmtId="178" fontId="3" fillId="0" borderId="12" xfId="42" applyNumberFormat="1" applyFont="1" applyBorder="1" applyAlignment="1">
      <alignment/>
    </xf>
    <xf numFmtId="37" fontId="16" fillId="0" borderId="0" xfId="0" applyNumberFormat="1" applyFont="1" applyAlignment="1">
      <alignment horizontal="right" wrapText="1"/>
    </xf>
    <xf numFmtId="37" fontId="16" fillId="0" borderId="0" xfId="0" applyNumberFormat="1" applyFont="1" applyFill="1" applyAlignment="1">
      <alignment horizontal="right" wrapText="1"/>
    </xf>
    <xf numFmtId="37" fontId="17" fillId="0" borderId="0" xfId="0" applyNumberFormat="1" applyFont="1" applyAlignment="1">
      <alignment horizontal="right" wrapText="1"/>
    </xf>
    <xf numFmtId="37" fontId="17" fillId="0" borderId="0" xfId="0" applyNumberFormat="1" applyFont="1" applyFill="1" applyAlignment="1">
      <alignment horizontal="right" wrapText="1"/>
    </xf>
    <xf numFmtId="43" fontId="3" fillId="34" borderId="0" xfId="0" applyNumberFormat="1" applyFont="1" applyFill="1" applyBorder="1" applyAlignment="1">
      <alignment horizontal="right" wrapText="1"/>
    </xf>
    <xf numFmtId="37" fontId="4" fillId="0" borderId="0" xfId="0" applyNumberFormat="1" applyFont="1" applyFill="1" applyAlignment="1">
      <alignment horizontal="right" wrapText="1"/>
    </xf>
    <xf numFmtId="37" fontId="4" fillId="0" borderId="15" xfId="0" applyNumberFormat="1" applyFont="1" applyBorder="1" applyAlignment="1">
      <alignment horizontal="right" wrapText="1"/>
    </xf>
    <xf numFmtId="3" fontId="4" fillId="0" borderId="0" xfId="0" applyNumberFormat="1" applyFont="1" applyAlignment="1">
      <alignment horizontal="right" wrapText="1"/>
    </xf>
    <xf numFmtId="178" fontId="4" fillId="0" borderId="0" xfId="42" applyNumberFormat="1" applyFont="1" applyAlignment="1">
      <alignment horizontal="right" wrapText="1"/>
    </xf>
    <xf numFmtId="37" fontId="22" fillId="0" borderId="0" xfId="0" applyNumberFormat="1" applyFont="1" applyFill="1" applyBorder="1" applyAlignment="1">
      <alignment horizontal="right" wrapText="1"/>
    </xf>
    <xf numFmtId="3" fontId="4" fillId="0" borderId="12" xfId="0" applyNumberFormat="1" applyFont="1" applyBorder="1" applyAlignment="1">
      <alignment horizontal="right"/>
    </xf>
    <xf numFmtId="0" fontId="4" fillId="0" borderId="0" xfId="0" applyFont="1" applyAlignment="1">
      <alignment horizontal="right" wrapText="1"/>
    </xf>
    <xf numFmtId="0" fontId="4" fillId="0" borderId="12" xfId="0" applyFont="1" applyBorder="1" applyAlignment="1">
      <alignment horizontal="right" wrapText="1"/>
    </xf>
    <xf numFmtId="3" fontId="4" fillId="0" borderId="12" xfId="0" applyNumberFormat="1" applyFont="1" applyBorder="1" applyAlignment="1">
      <alignment horizontal="right" wrapText="1"/>
    </xf>
    <xf numFmtId="3" fontId="4" fillId="0" borderId="13" xfId="0" applyNumberFormat="1" applyFont="1" applyBorder="1" applyAlignment="1">
      <alignment horizontal="right"/>
    </xf>
    <xf numFmtId="3" fontId="4" fillId="0" borderId="12" xfId="0" applyNumberFormat="1" applyFont="1" applyBorder="1" applyAlignment="1">
      <alignment horizontal="right"/>
    </xf>
    <xf numFmtId="178" fontId="4" fillId="0" borderId="0" xfId="42" applyNumberFormat="1" applyFont="1" applyFill="1" applyAlignment="1">
      <alignment horizontal="right" wrapText="1"/>
    </xf>
    <xf numFmtId="178" fontId="4" fillId="0" borderId="16" xfId="42" applyNumberFormat="1" applyFont="1" applyFill="1" applyBorder="1" applyAlignment="1">
      <alignment horizontal="right" wrapText="1"/>
    </xf>
    <xf numFmtId="178" fontId="4" fillId="0" borderId="15" xfId="42" applyNumberFormat="1" applyFont="1" applyBorder="1" applyAlignment="1">
      <alignment horizontal="right" wrapText="1"/>
    </xf>
    <xf numFmtId="37" fontId="32" fillId="0" borderId="0" xfId="0" applyNumberFormat="1" applyFont="1" applyFill="1" applyBorder="1" applyAlignment="1">
      <alignment horizontal="right" wrapText="1"/>
    </xf>
    <xf numFmtId="3" fontId="4" fillId="0" borderId="13" xfId="0" applyNumberFormat="1" applyFont="1" applyBorder="1" applyAlignment="1">
      <alignment horizontal="right"/>
    </xf>
    <xf numFmtId="43" fontId="3" fillId="34" borderId="0" xfId="42" applyFont="1" applyFill="1" applyBorder="1" applyAlignment="1">
      <alignment horizontal="right" wrapText="1"/>
    </xf>
    <xf numFmtId="178" fontId="68" fillId="0" borderId="0" xfId="42" applyNumberFormat="1" applyFont="1" applyFill="1" applyAlignment="1">
      <alignment horizontal="right" wrapText="1"/>
    </xf>
    <xf numFmtId="37" fontId="4" fillId="0" borderId="0" xfId="0" applyNumberFormat="1" applyFont="1" applyAlignment="1">
      <alignment/>
    </xf>
    <xf numFmtId="193" fontId="4" fillId="0" borderId="0" xfId="0" applyNumberFormat="1" applyFont="1" applyFill="1" applyBorder="1" applyAlignment="1">
      <alignment horizontal="right" wrapText="1"/>
    </xf>
    <xf numFmtId="193" fontId="4" fillId="34" borderId="0" xfId="42" applyNumberFormat="1" applyFont="1" applyFill="1" applyBorder="1" applyAlignment="1">
      <alignment horizontal="right" wrapText="1"/>
    </xf>
    <xf numFmtId="193" fontId="17" fillId="34" borderId="0" xfId="42" applyNumberFormat="1" applyFont="1" applyFill="1" applyBorder="1" applyAlignment="1">
      <alignment horizontal="right" wrapText="1"/>
    </xf>
    <xf numFmtId="0" fontId="33" fillId="0" borderId="0" xfId="0" applyFont="1" applyFill="1" applyBorder="1" applyAlignment="1">
      <alignment horizontal="left"/>
    </xf>
    <xf numFmtId="37" fontId="33" fillId="0" borderId="0" xfId="0" applyNumberFormat="1" applyFont="1" applyFill="1" applyBorder="1" applyAlignment="1">
      <alignment horizontal="left"/>
    </xf>
    <xf numFmtId="0" fontId="15" fillId="33" borderId="0" xfId="53" applyFont="1" applyFill="1" applyAlignment="1" applyProtection="1">
      <alignment horizontal="left"/>
      <protection/>
    </xf>
    <xf numFmtId="37" fontId="13" fillId="35" borderId="0" xfId="53" applyNumberFormat="1" applyFont="1" applyFill="1" applyBorder="1" applyAlignment="1" applyProtection="1">
      <alignment horizontal="left"/>
      <protection/>
    </xf>
    <xf numFmtId="37" fontId="3" fillId="0" borderId="0" xfId="0" applyNumberFormat="1" applyFont="1" applyFill="1" applyBorder="1" applyAlignment="1">
      <alignment wrapText="1"/>
    </xf>
    <xf numFmtId="0" fontId="0" fillId="0" borderId="0" xfId="0" applyFont="1" applyFill="1" applyAlignment="1">
      <alignment wrapText="1"/>
    </xf>
    <xf numFmtId="0" fontId="5" fillId="0" borderId="14" xfId="0" applyFont="1" applyBorder="1" applyAlignment="1">
      <alignment horizontal="right" vertical="top" wrapText="1"/>
    </xf>
    <xf numFmtId="0" fontId="5" fillId="0" borderId="13" xfId="0" applyFont="1" applyBorder="1" applyAlignment="1">
      <alignment horizontal="right" vertical="top" wrapText="1"/>
    </xf>
    <xf numFmtId="37" fontId="5" fillId="0" borderId="14" xfId="0" applyNumberFormat="1" applyFont="1" applyBorder="1" applyAlignment="1">
      <alignment horizontal="right" vertical="top" wrapText="1"/>
    </xf>
    <xf numFmtId="37" fontId="5" fillId="0" borderId="13" xfId="0" applyNumberFormat="1" applyFont="1" applyBorder="1" applyAlignment="1">
      <alignment horizontal="right" vertical="top" wrapText="1"/>
    </xf>
    <xf numFmtId="37" fontId="5" fillId="0" borderId="13" xfId="0" applyNumberFormat="1" applyFont="1" applyBorder="1" applyAlignment="1">
      <alignment horizontal="right" vertical="top" wrapText="1"/>
    </xf>
    <xf numFmtId="0" fontId="4" fillId="0" borderId="14" xfId="0" applyFont="1" applyBorder="1" applyAlignment="1">
      <alignment horizontal="center" vertical="top" wrapText="1"/>
    </xf>
    <xf numFmtId="0" fontId="5" fillId="0" borderId="14" xfId="0" applyFont="1" applyBorder="1" applyAlignment="1">
      <alignment horizontal="center" vertical="top" wrapText="1"/>
    </xf>
    <xf numFmtId="37" fontId="5" fillId="0" borderId="14" xfId="0" applyNumberFormat="1" applyFont="1" applyBorder="1" applyAlignment="1">
      <alignment horizontal="center" vertical="top" wrapText="1"/>
    </xf>
    <xf numFmtId="37" fontId="5" fillId="0" borderId="13" xfId="0" applyNumberFormat="1" applyFont="1" applyBorder="1" applyAlignment="1">
      <alignment horizontal="center" vertical="top" wrapText="1"/>
    </xf>
    <xf numFmtId="0" fontId="5" fillId="0" borderId="14" xfId="0" applyFont="1" applyBorder="1" applyAlignment="1">
      <alignment horizontal="left" wrapText="1" indent="1"/>
    </xf>
    <xf numFmtId="0" fontId="5" fillId="0" borderId="13" xfId="0" applyFont="1" applyBorder="1" applyAlignment="1">
      <alignment horizontal="left"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050A"/>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BE050A"/>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1</xdr:row>
      <xdr:rowOff>28575</xdr:rowOff>
    </xdr:from>
    <xdr:to>
      <xdr:col>11</xdr:col>
      <xdr:colOff>552450</xdr:colOff>
      <xdr:row>7</xdr:row>
      <xdr:rowOff>123825</xdr:rowOff>
    </xdr:to>
    <xdr:pic>
      <xdr:nvPicPr>
        <xdr:cNvPr id="1" name="Picture 7" descr="logo_vd_lockup"/>
        <xdr:cNvPicPr preferRelativeResize="1">
          <a:picLocks noChangeAspect="1"/>
        </xdr:cNvPicPr>
      </xdr:nvPicPr>
      <xdr:blipFill>
        <a:blip r:embed="rId1"/>
        <a:stretch>
          <a:fillRect/>
        </a:stretch>
      </xdr:blipFill>
      <xdr:spPr>
        <a:xfrm>
          <a:off x="581025" y="114300"/>
          <a:ext cx="69532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mp;G\S$MARGIN\AVEBal-%20MDA%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P 12M12 VS 12M11"/>
      <sheetName val="GRP4Q12 VS 3Q12"/>
      <sheetName val="GRP4Q12 VS 4Q11"/>
      <sheetName val="GRP Sep 12 VS Aug 12"/>
      <sheetName val="GRP 09M12 VS 09M11"/>
      <sheetName val="GRP3Q12 VS 2Q12"/>
      <sheetName val="GRP3Q12 VS 3Q11"/>
      <sheetName val="GRP Aug 12 VS Jul 12"/>
      <sheetName val="GRP 08M12 VS 08M11"/>
      <sheetName val="GRP Jul 12 VS Jun 12"/>
      <sheetName val="GRP 07M12 VS 07M11"/>
      <sheetName val="GRP Jun 12 VS May 12"/>
      <sheetName val="GRP 06M12 VS 06M11"/>
      <sheetName val="GRP2Q12 VS 1Q12"/>
      <sheetName val="GRP2Q12 VS 2Q11"/>
      <sheetName val="GRP May 12 VS Apr 12"/>
      <sheetName val="GRP 05M12 VS 05M11"/>
      <sheetName val="GRP Apr 12 VS Mar 12"/>
      <sheetName val="GRP 04M12 VS 04M11"/>
      <sheetName val="GRP Mar 12 VS Feb 12"/>
      <sheetName val="GRP 03M12 VS 03M11"/>
      <sheetName val="GRP1Q12 VS 4Q11"/>
      <sheetName val="GRP1Q12 VS 1Q11"/>
      <sheetName val="GRP Feb 12 VS Jan 12"/>
      <sheetName val="GRP 02M12 VS 02M11"/>
      <sheetName val="GRP Jan 12 VS Dec 11"/>
      <sheetName val="GRP 01M12 VS 01M11"/>
      <sheetName val="GRP Dec 11 VS Nov 11"/>
      <sheetName val="GRP 12M11 VS 12M10"/>
      <sheetName val="GRP4Q11 VS 3Q11"/>
      <sheetName val="GRP4Q11 VS 4Q10"/>
      <sheetName val="GRP Nov 11 VS Oct 11"/>
      <sheetName val="GRP 11M11 VS 11M10 "/>
      <sheetName val="GRP Oct 11 VS Sep 11"/>
      <sheetName val="GRP 10M11 VS 10M10"/>
      <sheetName val="GRP Sep 11 VS Aug 11"/>
      <sheetName val="GRP 09M11 VS 09M10"/>
      <sheetName val="GRP3Q11 VS 2Q11"/>
      <sheetName val="GRP3Q11 VS 3Q10"/>
      <sheetName val="GRP Aug 11 VS Jul 11"/>
      <sheetName val="GRP 08M11 VS 08M10"/>
      <sheetName val="GRP Jul 11 VS Jun 11"/>
      <sheetName val="GRP 07M11 VS 07M10"/>
      <sheetName val="GRP Jun 11 VS May 11"/>
      <sheetName val="GRP 06M11 VS 06M10"/>
      <sheetName val="GRP2Q11 VS 1Q11"/>
      <sheetName val="GRP2Q11 VS 2Q10"/>
      <sheetName val="GRP May 11 VS Apr 11"/>
      <sheetName val="GRP 05M11 VS 05M10"/>
      <sheetName val="GRP Apr 11 VS Mar 11"/>
      <sheetName val="GRP 04M11 VS 04M10"/>
      <sheetName val="GRP Mar 11 VS Feb 11"/>
      <sheetName val="GRP 03M11 VS 03M10"/>
      <sheetName val="GRP1Q11 VS 4Q10"/>
      <sheetName val="GRP1Q11 VS 1Q10"/>
      <sheetName val="GRP Feb 11 VS Jan 11"/>
      <sheetName val="GRP 02M11 VS 02M10"/>
      <sheetName val="GRP Jan 11 VS Dec 10"/>
      <sheetName val="GRP 01M11 VS 01M10"/>
      <sheetName val="GRP Nov 05 VS Oct 05"/>
      <sheetName val="GRP Oct 05 VS Sep 05"/>
      <sheetName val="GRP Sep 05 VS Aug 05 "/>
      <sheetName val="DHG Feb 12 VS Jan 12"/>
      <sheetName val="DHG 02M12 VS 02M11"/>
      <sheetName val="DHG Jan 12 VS Dec 11"/>
      <sheetName val="DHG 01M12 VS 01M11"/>
      <sheetName val="DHG Dec 11 VS Nov 11"/>
      <sheetName val="DHG 12M11 VS 12M10"/>
      <sheetName val="DHG Nov 11 VS Oct 11"/>
      <sheetName val="DHG 11M11 VS 11M10"/>
      <sheetName val="DHG  Oct 11 VS Sep 11"/>
      <sheetName val="DHG 10M11 VS 10M10"/>
      <sheetName val="DHG Sep 11 VS Aug 11"/>
      <sheetName val="DHG 09M11 VS 09M10"/>
      <sheetName val="DHG Aug 11 VS Jul 11"/>
      <sheetName val="DHG 08M11 VS 08M10"/>
      <sheetName val="DHG Jul 11 VS Jun 11"/>
      <sheetName val="DHG 07M11 VS 07M10"/>
      <sheetName val="DHG Jun 11 VS May 11"/>
      <sheetName val="DHG 06M11 VS 06M10"/>
      <sheetName val="DHG May 11 VS Apr 11"/>
      <sheetName val="DHG 05M11 VS 05M10"/>
      <sheetName val="DHG Apr 11 VS Mar 11"/>
      <sheetName val="DHG 04M11 VS 04M10"/>
      <sheetName val="DHG Mar 11 VS Feb 11"/>
      <sheetName val="DHG 1Q11 VS 4Q10"/>
      <sheetName val="DHG 03M11 VS 03M10"/>
      <sheetName val="DHG Feb 11 VS Jan 11"/>
      <sheetName val="DHG 02M11 VS 02M10"/>
      <sheetName val="DHG Jan 11 VS Dec 10"/>
      <sheetName val="DHG 01M11 VS 01M10"/>
      <sheetName val="GRP3Q05VS2Q05"/>
      <sheetName val="GRP2Q05VS1Q05"/>
      <sheetName val="GRP2Q05VS1Q05 (SS)"/>
      <sheetName val="GRP11M05 VS 10M05"/>
      <sheetName val="GRP10M05 VS 9M05"/>
      <sheetName val="GRP9M05 VS 8M05"/>
      <sheetName val="GRP Aug 05 VS Jul 05"/>
      <sheetName val="GRP Jul 05 VS Jun 05"/>
      <sheetName val="GRP7M05 VS 8M05"/>
      <sheetName val="GRP7M05 VS 6M05"/>
      <sheetName val="GRP6M05 VS 5M05"/>
      <sheetName val="GRP2Q05(est)VS1Q05"/>
      <sheetName val="GRP May 05 VS Apr 05"/>
      <sheetName val="GRP Apr 05 VS Mar 05"/>
      <sheetName val="GRP1Q05VS1Q04 (exclude DTDB)"/>
      <sheetName val="GRP1Q05VS1Q04"/>
      <sheetName val="GRP1Q05VS4Q04"/>
      <sheetName val="GRP3M05 VS 2M05"/>
      <sheetName val="GRPMar 05 VS Feb 05"/>
      <sheetName val="GRP2M05 VS 1M05"/>
      <sheetName val="GRPJan 05 VS Feb 05"/>
      <sheetName val="GRPJan 05 VS Dec 04"/>
      <sheetName val="DTDB4Q03"/>
      <sheetName val="GRP12M04VS12M03(excl DTDB)"/>
      <sheetName val="GRP12M04VS12M03"/>
      <sheetName val="GRP10M04VS9M04"/>
      <sheetName val="GRP9M04VS9M03"/>
      <sheetName val="GRP6M04VS6M03"/>
      <sheetName val="GRP4Q04VS3Q04"/>
      <sheetName val="GRP4Q04VS4Q03"/>
      <sheetName val="GRP4Q04VS4Q03 (excl DTDB)"/>
      <sheetName val="GRP3Q04VS3Q03"/>
      <sheetName val="GRP3Q04VS2Q04"/>
      <sheetName val="GRP2Q04VS1Q04"/>
      <sheetName val="GRP2Q04VS2Q03"/>
      <sheetName val="GRP1Q04VS4Q03"/>
      <sheetName val="GRP1Q04VS1Q03"/>
      <sheetName val="GRP1Q04VS1Q03 (2)"/>
      <sheetName val="GRP4Q03VS4Q02"/>
      <sheetName val="GRP4Q03VS3Q03"/>
      <sheetName val="DHG Feb06 VS Jan06"/>
      <sheetName val="DHG Jan06 VS Dec05"/>
      <sheetName val="DHG Dec05 VS Nov05"/>
      <sheetName val="DHG Nov05 VS Oct05"/>
      <sheetName val="DHG Oct05 VS Sep05"/>
      <sheetName val="DHG Sep05 VS Aug05"/>
      <sheetName val="DHG Aug05 VS Jul05"/>
      <sheetName val="DHG Jul 05 VS Jun05"/>
      <sheetName val="Bank- Feb 12 V Jan 12"/>
      <sheetName val="Bank- 02M12 V 02M11"/>
      <sheetName val="Bank- Jan 12 V Dec 11"/>
      <sheetName val="Bank- 01M12 V 01M11"/>
      <sheetName val="Bank- Dec 11 V Nov 11"/>
      <sheetName val="Bank- 12M11 V 12M10"/>
      <sheetName val="Bank- Nov 11 V Oct 11"/>
      <sheetName val="Bank- 11M11 V 11M10"/>
      <sheetName val="Bank- Nov 11 V Oct 11 (2)"/>
      <sheetName val="Bank- 11M11 V 11M10 (2)"/>
      <sheetName val="Bank- Oct 11 VS Sep 11"/>
      <sheetName val="Bank- 10M11 V 10M10"/>
      <sheetName val="Bank- Sep 11 V Aug 11"/>
      <sheetName val="Bank- 09M11 V 09M10"/>
      <sheetName val="Bank- Aug 11 V Jul 11"/>
      <sheetName val="Bank- 08M11 V 08M10"/>
      <sheetName val="Bank- Jul 11 V Jun 11"/>
      <sheetName val="Bank- 07M11 V 07M10"/>
      <sheetName val="Bank- Jun 11 V May 11"/>
      <sheetName val="Bank- 06M11 V 06M10"/>
      <sheetName val="Bank- May 11 V Apr 11"/>
      <sheetName val="Bank- 05M11 V 05M10"/>
      <sheetName val="Bank- Apr 11 V Mar 11"/>
      <sheetName val="Bank- 04M11 V 04M10"/>
      <sheetName val="Bank- Mar 11 V Feb 11"/>
      <sheetName val="Bank- 1Q11 V 4Q10"/>
      <sheetName val="Bank- 03M11 V 03M10"/>
      <sheetName val="Bank- Feb 11 V Jan 11"/>
      <sheetName val="Bank- 02M11 V 02M10"/>
      <sheetName val="Bank- Jan 11 V Dec 10"/>
      <sheetName val="Bank- 01M11 V 01M10"/>
      <sheetName val="DHG 10M05VS9M05"/>
      <sheetName val="DHG 9M05VS8M05"/>
      <sheetName val="DHG 8M05VS7M05"/>
      <sheetName val="DHG 7M05VS6M05"/>
      <sheetName val="DHG 6M05VS6M04"/>
      <sheetName val="DHG 1Q05VS1Q04"/>
      <sheetName val="DHG 1Q05VS4Q04"/>
      <sheetName val="DHG 12M04VS12M03"/>
      <sheetName val="DHG 11M04VS10M04"/>
      <sheetName val="DHG 10M04VS9M04"/>
      <sheetName val="DHG 9M04VS9M03"/>
      <sheetName val="DHG 6M04VS6M03"/>
      <sheetName val="DHG 4Q04VS3Q04"/>
      <sheetName val="DHG 3Q04VS2Q04"/>
      <sheetName val="DHG 3Q04VS3Q03"/>
      <sheetName val="DHG 2Q04VS2Q03"/>
      <sheetName val="DHG 2Q04VS1Q04"/>
      <sheetName val="DHG 1Q04VS1Q03"/>
      <sheetName val="DHG 1Q04VS4Q03"/>
      <sheetName val="DHG 4Q03VS3Q03"/>
      <sheetName val="DHG 2Q05VS1Q05"/>
      <sheetName val="Bank- Dec 05 V Nov 05"/>
      <sheetName val="Bank- Nov 05 V Oct 05"/>
      <sheetName val="Bank- Oct 05 V Sep 05"/>
      <sheetName val="Bank- Sep 05 V Aug 05"/>
      <sheetName val="Bank- Jul 05 V Aug 05"/>
      <sheetName val="Bank- Jul 05 V Jun 05"/>
      <sheetName val="Bank- Jun 05 V May 05"/>
      <sheetName val="Bank-11M05V10M05"/>
      <sheetName val="Bank-10M05V9M05"/>
      <sheetName val="Bank-9M05V8M05"/>
      <sheetName val="Bank-8M05V7M05"/>
      <sheetName val="Bank-7M05V6M05"/>
      <sheetName val="Bank-6M05V5M05"/>
      <sheetName val="Bank-2Q05 V 1Q05"/>
      <sheetName val="Bank-Apr-May05 V 1Q05"/>
      <sheetName val="Bank-5M05V4M05"/>
      <sheetName val="Bank-1Q05 V 4Q04"/>
      <sheetName val="Bank-Mar05 Vs Feb05"/>
      <sheetName val="Bank-4M05V3M05"/>
      <sheetName val="Bank-3M05V2M05"/>
      <sheetName val="Bank-Feb05 Vs Jan05"/>
      <sheetName val="Bank-Jan05 Vs Dec04"/>
      <sheetName val="Bank-2M05V1M05"/>
      <sheetName val="Bank-1M05V12M04"/>
      <sheetName val="Bank-1M05V1M04"/>
      <sheetName val="Bank-4Q04 V 4Q03"/>
      <sheetName val="Bank-4Q04 V 3Q04"/>
      <sheetName val="Bank-3Q04 V 3Q03"/>
      <sheetName val="Bank-3Q04 V 2Q04"/>
      <sheetName val="Bank-2Q04 V 2Q03"/>
      <sheetName val="Bank-2Q04 V 1Q04"/>
      <sheetName val="Bank-Nov04 Vs Dec04"/>
      <sheetName val="Bank-NOV04 Vs OCT04"/>
      <sheetName val="Bank-OCT04 Vs SEP04"/>
      <sheetName val="Bank-12M04 Vs 12M03"/>
      <sheetName val="Bank-11M04 Vs 11M03"/>
      <sheetName val="Bank-10M04 Vs 10M03"/>
      <sheetName val="Bank-9M04 Vs 9M03"/>
      <sheetName val="Bank-8M04 Vs 8M03"/>
      <sheetName val="Bank-7M04 Vs 7M03"/>
      <sheetName val="Bank-6M04 Vs 6M03"/>
      <sheetName val="Bank-5M04VS5M03"/>
      <sheetName val="Bank-4M04VS4M03"/>
      <sheetName val="Bank-1Q04VS1Q03"/>
      <sheetName val="Bank-1Q04VS4Q03"/>
      <sheetName val="Bank-4Q03V3Q03"/>
      <sheetName val="Bank-2M04V2M03"/>
      <sheetName val="Bank-1M04V1M03"/>
      <sheetName val="AveBal-Bk-3M03"/>
      <sheetName val="AveBal-Grp-3M03"/>
    </sheetNames>
    <sheetDataSet>
      <sheetData sheetId="0">
        <row r="9">
          <cell r="C9">
            <v>50139867.054327235</v>
          </cell>
          <cell r="E9">
            <v>0.9877444437676846</v>
          </cell>
        </row>
        <row r="11">
          <cell r="C11">
            <v>200975931.1760769</v>
          </cell>
          <cell r="E11">
            <v>2.808456193595384</v>
          </cell>
        </row>
        <row r="13">
          <cell r="C13">
            <v>60129074.29276923</v>
          </cell>
          <cell r="E13">
            <v>2.4634672971033966</v>
          </cell>
        </row>
        <row r="15">
          <cell r="E15">
            <v>2.4485013221794114</v>
          </cell>
        </row>
        <row r="30">
          <cell r="C30">
            <v>54037709.97038461</v>
          </cell>
          <cell r="E30">
            <v>1.20670801824204</v>
          </cell>
        </row>
        <row r="32">
          <cell r="C32">
            <v>233865594.98992312</v>
          </cell>
          <cell r="E32">
            <v>0.7201068007285234</v>
          </cell>
        </row>
        <row r="37">
          <cell r="E37">
            <v>0.8114389077595858</v>
          </cell>
        </row>
        <row r="53">
          <cell r="E53">
            <v>1.6979156453022015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5"/>
    <pageSetUpPr fitToPage="1"/>
  </sheetPr>
  <dimension ref="B9:M65"/>
  <sheetViews>
    <sheetView tabSelected="1" zoomScale="80" zoomScaleNormal="80" zoomScalePageLayoutView="0" workbookViewId="0" topLeftCell="A1">
      <pane ySplit="9" topLeftCell="A10" activePane="bottomLeft" state="frozen"/>
      <selection pane="topLeft" activeCell="K37" sqref="K37"/>
      <selection pane="bottomLeft" activeCell="R24" sqref="R24"/>
    </sheetView>
  </sheetViews>
  <sheetFormatPr defaultColWidth="9.140625" defaultRowHeight="12.75"/>
  <cols>
    <col min="1" max="1" width="9.140625" style="1" customWidth="1"/>
    <col min="2" max="2" width="3.57421875" style="3" customWidth="1"/>
    <col min="3" max="3" width="46.421875" style="1" customWidth="1"/>
    <col min="4" max="10" width="5.28125" style="1" customWidth="1"/>
    <col min="11" max="11" width="8.57421875" style="4" customWidth="1"/>
    <col min="12" max="12" width="8.57421875" style="1" customWidth="1"/>
    <col min="13" max="16384" width="9.140625" style="1" customWidth="1"/>
  </cols>
  <sheetData>
    <row r="1" ht="6.75" customHeight="1"/>
    <row r="2" ht="12.75"/>
    <row r="3" ht="12.75"/>
    <row r="4" ht="12.75"/>
    <row r="5" ht="12.75"/>
    <row r="6" ht="12.75"/>
    <row r="7" ht="12.75"/>
    <row r="8" ht="15.75" customHeight="1"/>
    <row r="9" ht="24.75" customHeight="1">
      <c r="B9" s="2" t="s">
        <v>407</v>
      </c>
    </row>
    <row r="10" spans="2:11" s="12" customFormat="1" ht="15">
      <c r="B10" s="11"/>
      <c r="K10" s="13"/>
    </row>
    <row r="11" spans="2:11" s="12" customFormat="1" ht="15">
      <c r="B11" s="11"/>
      <c r="K11" s="37" t="s">
        <v>1</v>
      </c>
    </row>
    <row r="12" spans="2:13" s="12" customFormat="1" ht="14.25">
      <c r="B12" s="514" t="s">
        <v>51</v>
      </c>
      <c r="C12" s="514"/>
      <c r="D12" s="514"/>
      <c r="E12" s="514"/>
      <c r="F12" s="514"/>
      <c r="G12" s="514"/>
      <c r="H12" s="514"/>
      <c r="I12" s="514"/>
      <c r="J12" s="514"/>
      <c r="K12" s="69">
        <v>1</v>
      </c>
      <c r="L12" s="95"/>
      <c r="M12" s="95"/>
    </row>
    <row r="13" spans="2:13" s="12" customFormat="1" ht="14.25">
      <c r="B13" s="514" t="s">
        <v>92</v>
      </c>
      <c r="C13" s="514"/>
      <c r="D13" s="514"/>
      <c r="E13" s="514"/>
      <c r="F13" s="514"/>
      <c r="G13" s="514"/>
      <c r="H13" s="514"/>
      <c r="I13" s="514"/>
      <c r="J13" s="514"/>
      <c r="K13" s="69">
        <v>2</v>
      </c>
      <c r="L13" s="95"/>
      <c r="M13" s="95"/>
    </row>
    <row r="14" spans="2:13" s="12" customFormat="1" ht="11.25" customHeight="1">
      <c r="B14" s="96"/>
      <c r="C14" s="95"/>
      <c r="D14" s="95"/>
      <c r="E14" s="95"/>
      <c r="F14" s="95"/>
      <c r="G14" s="95"/>
      <c r="H14" s="95"/>
      <c r="I14" s="95"/>
      <c r="J14" s="95"/>
      <c r="K14" s="97"/>
      <c r="L14" s="95"/>
      <c r="M14" s="95"/>
    </row>
    <row r="15" spans="2:11" s="12" customFormat="1" ht="15">
      <c r="B15" s="98" t="s">
        <v>61</v>
      </c>
      <c r="K15" s="13"/>
    </row>
    <row r="16" spans="3:11" s="12" customFormat="1" ht="14.25">
      <c r="C16" s="69" t="s">
        <v>143</v>
      </c>
      <c r="K16" s="69">
        <v>3</v>
      </c>
    </row>
    <row r="17" spans="3:11" s="12" customFormat="1" ht="14.25">
      <c r="C17" s="69" t="s">
        <v>25</v>
      </c>
      <c r="K17" s="69">
        <v>4</v>
      </c>
    </row>
    <row r="18" spans="3:11" s="12" customFormat="1" ht="14.25">
      <c r="C18" s="69" t="s">
        <v>0</v>
      </c>
      <c r="K18" s="69">
        <v>5</v>
      </c>
    </row>
    <row r="19" spans="3:11" s="12" customFormat="1" ht="14.25">
      <c r="C19" s="69" t="s">
        <v>8</v>
      </c>
      <c r="K19" s="69">
        <v>6</v>
      </c>
    </row>
    <row r="20" spans="3:11" s="12" customFormat="1" ht="14.25">
      <c r="C20" s="69" t="s">
        <v>17</v>
      </c>
      <c r="K20" s="69">
        <v>7</v>
      </c>
    </row>
    <row r="21" spans="3:11" s="12" customFormat="1" ht="14.25">
      <c r="C21" s="69" t="s">
        <v>144</v>
      </c>
      <c r="K21" s="69">
        <v>8</v>
      </c>
    </row>
    <row r="22" spans="3:11" s="12" customFormat="1" ht="14.25">
      <c r="C22" s="69" t="s">
        <v>21</v>
      </c>
      <c r="K22" s="69">
        <v>9</v>
      </c>
    </row>
    <row r="23" spans="3:11" s="12" customFormat="1" ht="14.25">
      <c r="C23" s="69" t="s">
        <v>229</v>
      </c>
      <c r="K23" s="69">
        <v>10</v>
      </c>
    </row>
    <row r="24" spans="3:11" s="12" customFormat="1" ht="14.25">
      <c r="C24" s="69" t="s">
        <v>101</v>
      </c>
      <c r="K24" s="69">
        <v>11</v>
      </c>
    </row>
    <row r="25" spans="3:11" s="12" customFormat="1" ht="14.25">
      <c r="C25" s="69" t="s">
        <v>208</v>
      </c>
      <c r="K25" s="69">
        <v>12</v>
      </c>
    </row>
    <row r="26" spans="3:11" s="12" customFormat="1" ht="14.25">
      <c r="C26" s="69" t="s">
        <v>117</v>
      </c>
      <c r="K26" s="69">
        <v>13</v>
      </c>
    </row>
    <row r="27" spans="3:11" s="12" customFormat="1" ht="14.25">
      <c r="C27" s="13"/>
      <c r="K27" s="13"/>
    </row>
    <row r="28" spans="2:11" s="12" customFormat="1" ht="15">
      <c r="B28" s="82" t="s">
        <v>145</v>
      </c>
      <c r="K28" s="13"/>
    </row>
    <row r="29" spans="2:11" s="12" customFormat="1" ht="15">
      <c r="B29" s="82"/>
      <c r="C29" s="69" t="s">
        <v>228</v>
      </c>
      <c r="K29" s="69">
        <v>14</v>
      </c>
    </row>
    <row r="30" spans="3:11" s="12" customFormat="1" ht="14.25">
      <c r="C30" s="99" t="s">
        <v>62</v>
      </c>
      <c r="K30" s="13"/>
    </row>
    <row r="31" spans="2:11" s="12" customFormat="1" ht="15">
      <c r="B31" s="82"/>
      <c r="C31" s="69" t="s">
        <v>382</v>
      </c>
      <c r="K31" s="69">
        <v>15</v>
      </c>
    </row>
    <row r="32" spans="2:11" s="12" customFormat="1" ht="15">
      <c r="B32" s="82"/>
      <c r="C32" s="69" t="s">
        <v>332</v>
      </c>
      <c r="K32" s="69">
        <v>16</v>
      </c>
    </row>
    <row r="33" spans="2:11" s="12" customFormat="1" ht="15">
      <c r="B33" s="82"/>
      <c r="C33" s="69" t="s">
        <v>333</v>
      </c>
      <c r="K33" s="69">
        <v>17</v>
      </c>
    </row>
    <row r="34" spans="2:11" s="12" customFormat="1" ht="15">
      <c r="B34" s="82"/>
      <c r="C34" s="69" t="s">
        <v>35</v>
      </c>
      <c r="K34" s="69">
        <v>18</v>
      </c>
    </row>
    <row r="35" spans="2:11" s="12" customFormat="1" ht="15">
      <c r="B35" s="82"/>
      <c r="C35" s="99" t="s">
        <v>63</v>
      </c>
      <c r="K35" s="13"/>
    </row>
    <row r="36" spans="2:11" s="12" customFormat="1" ht="15">
      <c r="B36" s="82"/>
      <c r="C36" s="69" t="s">
        <v>48</v>
      </c>
      <c r="K36" s="69">
        <v>19</v>
      </c>
    </row>
    <row r="37" spans="2:11" s="12" customFormat="1" ht="15">
      <c r="B37" s="82"/>
      <c r="C37" s="69" t="s">
        <v>49</v>
      </c>
      <c r="K37" s="69">
        <v>20</v>
      </c>
    </row>
    <row r="38" spans="2:11" s="12" customFormat="1" ht="15">
      <c r="B38" s="82"/>
      <c r="C38" s="69" t="s">
        <v>73</v>
      </c>
      <c r="K38" s="69">
        <v>21</v>
      </c>
    </row>
    <row r="39" spans="2:11" s="12" customFormat="1" ht="15">
      <c r="B39" s="82"/>
      <c r="C39" s="69" t="s">
        <v>93</v>
      </c>
      <c r="K39" s="69">
        <v>22</v>
      </c>
    </row>
    <row r="40" spans="2:11" s="12" customFormat="1" ht="15">
      <c r="B40" s="82"/>
      <c r="C40" s="69" t="s">
        <v>75</v>
      </c>
      <c r="K40" s="69">
        <v>23</v>
      </c>
    </row>
    <row r="41" spans="2:11" s="12" customFormat="1" ht="15">
      <c r="B41" s="82"/>
      <c r="K41" s="13"/>
    </row>
    <row r="42" spans="2:11" s="12" customFormat="1" ht="14.25">
      <c r="B42" s="514" t="s">
        <v>328</v>
      </c>
      <c r="C42" s="514"/>
      <c r="D42" s="514"/>
      <c r="E42" s="514"/>
      <c r="F42" s="514"/>
      <c r="G42" s="514"/>
      <c r="H42" s="514"/>
      <c r="I42" s="514"/>
      <c r="J42" s="514"/>
      <c r="K42" s="69">
        <v>24</v>
      </c>
    </row>
    <row r="43" spans="2:11" s="12" customFormat="1" ht="14.25">
      <c r="B43" s="514" t="s">
        <v>329</v>
      </c>
      <c r="C43" s="514"/>
      <c r="D43" s="514"/>
      <c r="E43" s="514"/>
      <c r="F43" s="514"/>
      <c r="G43" s="514"/>
      <c r="H43" s="514"/>
      <c r="I43" s="514"/>
      <c r="J43" s="514"/>
      <c r="K43" s="69">
        <v>25</v>
      </c>
    </row>
    <row r="44" spans="2:11" s="12" customFormat="1" ht="14.25">
      <c r="B44" s="514" t="s">
        <v>330</v>
      </c>
      <c r="C44" s="514"/>
      <c r="D44" s="514"/>
      <c r="E44" s="514"/>
      <c r="F44" s="514"/>
      <c r="G44" s="514"/>
      <c r="H44" s="514"/>
      <c r="I44" s="514"/>
      <c r="J44" s="514"/>
      <c r="K44" s="69">
        <v>26</v>
      </c>
    </row>
    <row r="45" spans="2:11" s="12" customFormat="1" ht="14.25">
      <c r="B45" s="514" t="s">
        <v>172</v>
      </c>
      <c r="C45" s="514"/>
      <c r="D45" s="514"/>
      <c r="E45" s="514"/>
      <c r="F45" s="514"/>
      <c r="G45" s="514"/>
      <c r="H45" s="514"/>
      <c r="I45" s="514"/>
      <c r="J45" s="514"/>
      <c r="K45" s="69">
        <v>27</v>
      </c>
    </row>
    <row r="46" spans="2:11" s="12" customFormat="1" ht="14.25">
      <c r="B46" s="13"/>
      <c r="K46" s="13"/>
    </row>
    <row r="47" spans="2:11" s="12" customFormat="1" ht="14.25">
      <c r="B47" s="14"/>
      <c r="K47" s="13"/>
    </row>
    <row r="48" spans="2:11" s="12" customFormat="1" ht="14.25">
      <c r="B48" s="14"/>
      <c r="K48" s="13"/>
    </row>
    <row r="49" spans="2:11" s="12" customFormat="1" ht="14.25">
      <c r="B49" s="14"/>
      <c r="K49" s="13"/>
    </row>
    <row r="50" spans="2:11" s="12" customFormat="1" ht="14.25">
      <c r="B50" s="14"/>
      <c r="K50" s="13"/>
    </row>
    <row r="51" spans="2:11" s="12" customFormat="1" ht="14.25">
      <c r="B51" s="14"/>
      <c r="K51" s="13"/>
    </row>
    <row r="52" spans="2:11" s="12" customFormat="1" ht="14.25">
      <c r="B52" s="14"/>
      <c r="K52" s="13"/>
    </row>
    <row r="53" spans="2:11" s="12" customFormat="1" ht="14.25">
      <c r="B53" s="14"/>
      <c r="K53" s="13"/>
    </row>
    <row r="54" spans="2:11" s="12" customFormat="1" ht="14.25">
      <c r="B54" s="14"/>
      <c r="K54" s="13"/>
    </row>
    <row r="55" spans="2:11" s="12" customFormat="1" ht="14.25">
      <c r="B55" s="14"/>
      <c r="K55" s="13"/>
    </row>
    <row r="56" spans="2:11" s="12" customFormat="1" ht="14.25">
      <c r="B56" s="14"/>
      <c r="K56" s="13"/>
    </row>
    <row r="57" spans="2:11" s="12" customFormat="1" ht="14.25">
      <c r="B57" s="14"/>
      <c r="K57" s="13"/>
    </row>
    <row r="58" spans="2:11" s="12" customFormat="1" ht="14.25">
      <c r="B58" s="14"/>
      <c r="K58" s="13"/>
    </row>
    <row r="59" spans="2:11" s="12" customFormat="1" ht="14.25">
      <c r="B59" s="14"/>
      <c r="K59" s="13"/>
    </row>
    <row r="60" spans="2:11" s="12" customFormat="1" ht="14.25">
      <c r="B60" s="14"/>
      <c r="K60" s="13"/>
    </row>
    <row r="61" spans="2:11" s="12" customFormat="1" ht="14.25">
      <c r="B61" s="14"/>
      <c r="K61" s="13"/>
    </row>
    <row r="62" spans="2:11" s="12" customFormat="1" ht="14.25">
      <c r="B62" s="14"/>
      <c r="K62" s="13"/>
    </row>
    <row r="63" spans="2:11" s="12" customFormat="1" ht="14.25">
      <c r="B63" s="14"/>
      <c r="K63" s="13"/>
    </row>
    <row r="64" spans="2:11" s="12" customFormat="1" ht="14.25">
      <c r="B64" s="14"/>
      <c r="K64" s="13"/>
    </row>
    <row r="65" spans="2:11" s="12" customFormat="1" ht="14.25">
      <c r="B65" s="14"/>
      <c r="K65" s="13"/>
    </row>
  </sheetData>
  <sheetProtection/>
  <mergeCells count="6">
    <mergeCell ref="B44:J44"/>
    <mergeCell ref="B45:J45"/>
    <mergeCell ref="B12:J12"/>
    <mergeCell ref="B13:J13"/>
    <mergeCell ref="B42:J42"/>
    <mergeCell ref="B43:J43"/>
  </mergeCells>
  <hyperlinks>
    <hyperlink ref="B12" location="'1.Highlights'!A1" display="Performance highlights"/>
    <hyperlink ref="K12" location="'1.Highlights'!A1" display="'1.Highlights'!A1"/>
    <hyperlink ref="B13:J13" location="'2.PerShare'!A1" display="Ordinary share data"/>
    <hyperlink ref="K13" location="'2.PerShare'!A1" display="'2.PerShare'!A1"/>
    <hyperlink ref="C16" location="'3.NetInterest'!A1" display="Net interest income, average balances and rates"/>
    <hyperlink ref="C17" location="'4.NonInterest'!A1" display="Non-interest income"/>
    <hyperlink ref="C18" location="'5.Expenses'!A1" display="Expenses"/>
    <hyperlink ref="C19" location="'6.Allowances'!A1" display="Allowances for credit and other losses"/>
    <hyperlink ref="C20" location="'7.Loans'!A1" display="Customer Loans"/>
    <hyperlink ref="C21" location="'8.AFS'!A1" display="Funding Sources"/>
    <hyperlink ref="C22" location="'9.Deposits'!A1" display="Customer Deposits"/>
    <hyperlink ref="C23" location="'10.NPL,Coverage ratios'!A1" display="Non-performing loan and coverage ratios"/>
    <hyperlink ref="C26" location="'13.Capital'!A1" display="Capital adequacy"/>
    <hyperlink ref="K16" location="'3.NetInterest'!A1" display="'3.NetInterest'!A1"/>
    <hyperlink ref="K17" location="'4.NonInterest'!A1" display="'4.NonInterest'!A1"/>
    <hyperlink ref="K18" location="'5.Expenses'!A1" display="'5.Expenses'!A1"/>
    <hyperlink ref="K19" location="'6.Allowances'!A1" display="'6.Allowances'!A1"/>
    <hyperlink ref="K20" location="'7.Loans'!A1" display="'7.Loans'!A1"/>
    <hyperlink ref="K21" location="'8.AFS'!A1" display="'8.AFS'!A1"/>
    <hyperlink ref="K22" location="'9.Deposits'!A1" display="'9.Deposits'!A1"/>
    <hyperlink ref="K23" location="'10.NPL,Coverage ratios'!A1" display="'10.NPL,Coverage ratios'!A1"/>
    <hyperlink ref="K26" location="'13.Capital'!A1" display="'13.Capital'!A1"/>
    <hyperlink ref="C29" location="'14.Mix'!A1" display="Business and geographical mix"/>
    <hyperlink ref="K29" location="'14.Mix'!A1" display="'14.Mix'!A1"/>
    <hyperlink ref="C24" location="'11.NPA'!A1" display="Non-performing assets"/>
    <hyperlink ref="K24" location="'11.NPA'!A1" display="'11.NPA'!A1"/>
    <hyperlink ref="C25" location="'12.CumulativeAllowances'!A1" display="Cumulative loss allowances"/>
    <hyperlink ref="K25" location="'12.CumulativeAllowances'!A1" display="'12.CumulativeAllowances'!A1"/>
    <hyperlink ref="C31" location="'15.Consumer'!A1" display="Consumer/ Private Banking"/>
    <hyperlink ref="K31" location="'15.Consumer'!A1" display="'15.Consumer'!A1"/>
    <hyperlink ref="C32" location="'16.Institutional'!A1" display="Institutional Banking"/>
    <hyperlink ref="K32" location="'16.Institutional'!A1" display="'16.Institutional'!A1"/>
    <hyperlink ref="C33" location="'17.Treasury'!A1" display="Treasury"/>
    <hyperlink ref="K33" location="'17.Treasury'!A1" display="'17.Treasury'!A1"/>
    <hyperlink ref="C34" location="'18.Others'!A1" display="Others"/>
    <hyperlink ref="K34" location="'18.Others'!A1" display="'18.Others'!A1"/>
    <hyperlink ref="C36" location="'19.S''pore'!A1" display="Singapore"/>
    <hyperlink ref="C37" location="'20.HK'!A1" display="Hong Kong"/>
    <hyperlink ref="C38" location="'21.GreaterChina'!A1" display="Rest of Greater China"/>
    <hyperlink ref="C39" location="'22.SSEA'!A1" display="South and South-East Asia"/>
    <hyperlink ref="C40" location="'23.ROW'!A1" display="Rest of World"/>
    <hyperlink ref="K36" location="'19.S''pore'!A1" display="'19.S''pore'!A1"/>
    <hyperlink ref="K37" location="'20.HK'!A1" display="'20.HK'!A1"/>
    <hyperlink ref="K38" location="'21.GreaterChina'!A1" display="'21.GreaterChina'!A1"/>
    <hyperlink ref="K39" location="'22.SSEA'!A1" display="'22.SSEA'!A1"/>
    <hyperlink ref="K40" location="'23.ROW'!A1" display="'23.ROW'!A1"/>
    <hyperlink ref="B42" location="'25.P&amp;L'!A1" display="Unaudited consolidated income statement"/>
    <hyperlink ref="B43" location="'26.BalSheet'!A1" display="Unaudited consolidated balance sheet"/>
    <hyperlink ref="B44" location="'27.CashFlow'!A1" display="Unaudited consolidated cash flow statement"/>
    <hyperlink ref="B45" location="'28.Legend'!A1" display="Legend of terms used"/>
    <hyperlink ref="K42" location="'24.P&amp;L'!A1" display="'24.P&amp;L'!A1"/>
    <hyperlink ref="K43" location="'25.BalSheet'!A1" display="'25.BalSheet'!A1"/>
    <hyperlink ref="K44" location="'26.CashFlow'!A1" display="'26.CashFlow'!A1"/>
    <hyperlink ref="K45" location="'27.Legend'!A1" display="'27.Legend'!A1"/>
    <hyperlink ref="B42:J42" location="'24.P&amp;L'!A1" display="Consolidated income statement"/>
    <hyperlink ref="B43:J43" location="'25.BalSheet'!A1" display="Consolidated balance sheet"/>
    <hyperlink ref="B44:J44" location="'26.CashFlow'!A1" display="Consolidated cash flow statement"/>
    <hyperlink ref="B45:J45" location="'27.Legend'!A1" display="Legend of terms used"/>
  </hyperlinks>
  <printOptions/>
  <pageMargins left="0.75" right="0.75" top="0.67" bottom="1" header="0.5" footer="0.5"/>
  <pageSetup fitToHeight="1" fitToWidth="1" horizontalDpi="600" verticalDpi="600" orientation="landscape" scale="73" r:id="rId2"/>
  <drawing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AJ31"/>
  <sheetViews>
    <sheetView zoomScale="80" zoomScaleNormal="80" zoomScalePageLayoutView="0" workbookViewId="0" topLeftCell="A1">
      <pane xSplit="3" ySplit="2" topLeftCell="N3" activePane="bottomRight" state="frozen"/>
      <selection pane="topLeft" activeCell="V22" sqref="V22"/>
      <selection pane="topRight" activeCell="V22" sqref="V22"/>
      <selection pane="bottomLeft" activeCell="V22" sqref="V22"/>
      <selection pane="bottomRight" activeCell="AG15" sqref="AG15"/>
    </sheetView>
  </sheetViews>
  <sheetFormatPr defaultColWidth="9.140625" defaultRowHeight="12.75" outlineLevelCol="1"/>
  <cols>
    <col min="1" max="1" width="2.140625" style="22" customWidth="1"/>
    <col min="2" max="2" width="2.57421875" style="22" customWidth="1"/>
    <col min="3" max="3" width="28.28125" style="10" customWidth="1"/>
    <col min="4" max="4" width="11.57421875" style="76" hidden="1" customWidth="1" outlineLevel="1"/>
    <col min="5" max="8" width="11.57421875" style="75" hidden="1" customWidth="1" outlineLevel="1"/>
    <col min="9" max="9" width="2.8515625" style="75" hidden="1" customWidth="1" outlineLevel="1"/>
    <col min="10" max="10" width="11.140625" style="75" hidden="1" customWidth="1" outlineLevel="1"/>
    <col min="11" max="11" width="11.57421875" style="75" hidden="1" customWidth="1" outlineLevel="1"/>
    <col min="12" max="17" width="11.28125" style="75" hidden="1" customWidth="1" outlineLevel="1"/>
    <col min="18" max="19" width="11.28125" style="75" hidden="1" customWidth="1" outlineLevel="1" collapsed="1"/>
    <col min="20" max="21" width="11.28125" style="75" hidden="1" customWidth="1" outlineLevel="1"/>
    <col min="22" max="22" width="11.28125" style="75" customWidth="1" collapsed="1"/>
    <col min="23" max="25" width="11.28125" style="75" customWidth="1"/>
    <col min="26" max="26" width="11.28125" style="119" customWidth="1"/>
    <col min="27" max="28" width="8.28125" style="75" customWidth="1"/>
    <col min="29" max="29" width="4.00390625" style="21" customWidth="1"/>
    <col min="30" max="30" width="10.421875" style="75" hidden="1" customWidth="1"/>
    <col min="31" max="31" width="11.421875" style="119" hidden="1" customWidth="1"/>
    <col min="32" max="32" width="10.7109375" style="75" hidden="1" customWidth="1"/>
    <col min="33" max="16384" width="9.140625" style="22" customWidth="1"/>
  </cols>
  <sheetData>
    <row r="1" spans="1:32" s="42" customFormat="1" ht="20.25">
      <c r="A1" s="41" t="s">
        <v>21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43"/>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290" t="s">
        <v>366</v>
      </c>
      <c r="AE2" s="290" t="s">
        <v>392</v>
      </c>
      <c r="AF2" s="290" t="s">
        <v>393</v>
      </c>
    </row>
    <row r="3" spans="1:32" s="24" customFormat="1" ht="14.25" customHeight="1">
      <c r="A3" s="9"/>
      <c r="D3" s="8"/>
      <c r="E3" s="17"/>
      <c r="F3" s="17"/>
      <c r="G3" s="17"/>
      <c r="H3" s="17"/>
      <c r="I3" s="17"/>
      <c r="J3" s="17"/>
      <c r="K3" s="17"/>
      <c r="L3" s="17"/>
      <c r="M3" s="17"/>
      <c r="N3" s="17"/>
      <c r="O3" s="17"/>
      <c r="P3" s="17"/>
      <c r="Q3" s="17"/>
      <c r="R3" s="17"/>
      <c r="S3" s="17"/>
      <c r="T3" s="17"/>
      <c r="U3" s="17"/>
      <c r="V3" s="17"/>
      <c r="W3" s="17"/>
      <c r="X3" s="17"/>
      <c r="Y3" s="17"/>
      <c r="Z3" s="365"/>
      <c r="AA3" s="17"/>
      <c r="AB3" s="17"/>
      <c r="AD3" s="17"/>
      <c r="AE3" s="125"/>
      <c r="AF3" s="17"/>
    </row>
    <row r="4" spans="1:32" s="24" customFormat="1" ht="14.25" customHeight="1">
      <c r="A4" s="40" t="s">
        <v>221</v>
      </c>
      <c r="D4" s="8"/>
      <c r="E4" s="17"/>
      <c r="F4" s="17"/>
      <c r="G4" s="17"/>
      <c r="H4" s="17"/>
      <c r="I4" s="17"/>
      <c r="J4" s="17"/>
      <c r="K4" s="17"/>
      <c r="L4" s="17"/>
      <c r="M4" s="17"/>
      <c r="N4" s="17"/>
      <c r="O4" s="17"/>
      <c r="P4" s="17"/>
      <c r="Q4" s="17"/>
      <c r="R4" s="17"/>
      <c r="S4" s="17"/>
      <c r="T4" s="17"/>
      <c r="U4" s="17"/>
      <c r="V4" s="17"/>
      <c r="W4" s="17"/>
      <c r="X4" s="17"/>
      <c r="Y4" s="17"/>
      <c r="Z4" s="125"/>
      <c r="AA4" s="17"/>
      <c r="AB4" s="17"/>
      <c r="AD4" s="17"/>
      <c r="AE4" s="125"/>
      <c r="AF4" s="17"/>
    </row>
    <row r="5" spans="1:32" s="18" customFormat="1" ht="15">
      <c r="A5" s="31" t="s">
        <v>21</v>
      </c>
      <c r="D5" s="17">
        <v>169858</v>
      </c>
      <c r="E5" s="17">
        <v>183432</v>
      </c>
      <c r="F5" s="17">
        <v>193692</v>
      </c>
      <c r="G5" s="17">
        <v>225346</v>
      </c>
      <c r="H5" s="17">
        <v>242907</v>
      </c>
      <c r="I5" s="17"/>
      <c r="J5" s="17">
        <v>179818</v>
      </c>
      <c r="K5" s="17">
        <v>179033</v>
      </c>
      <c r="L5" s="17">
        <v>180185</v>
      </c>
      <c r="M5" s="17">
        <v>183432</v>
      </c>
      <c r="N5" s="17">
        <v>181560</v>
      </c>
      <c r="O5" s="17">
        <v>183929</v>
      </c>
      <c r="P5" s="17">
        <v>185211</v>
      </c>
      <c r="Q5" s="17">
        <v>193692</v>
      </c>
      <c r="R5" s="17">
        <v>199536</v>
      </c>
      <c r="S5" s="17">
        <v>210536</v>
      </c>
      <c r="T5" s="17">
        <v>219714</v>
      </c>
      <c r="U5" s="17">
        <v>225346</v>
      </c>
      <c r="V5" s="17">
        <v>232186</v>
      </c>
      <c r="W5" s="17">
        <v>230566</v>
      </c>
      <c r="X5" s="17">
        <v>240178</v>
      </c>
      <c r="Y5" s="17">
        <v>242907</v>
      </c>
      <c r="Z5" s="125">
        <v>250815</v>
      </c>
      <c r="AA5" s="17">
        <f>IF(AND(Z5=0,Y5=0),0,IF(OR(AND(Z5&gt;0,Y5&lt;=0),AND(Z5&lt;0,Y5&gt;=0)),"nm",IF(AND(Z5&lt;0,Y5&lt;0),IF(-(Z5/Y5-1)*100&lt;-100,"(&gt;100)",-(Z5/Y5-1)*100),IF((Z5/Y5-1)*100&gt;100,"&gt;100",(Z5/Y5-1)*100))))</f>
        <v>3.2555669453741665</v>
      </c>
      <c r="AB5" s="17">
        <f>IF(AND(Z5=0,V5=0),0,IF(OR(AND(Z5&gt;0,V5&lt;=0),AND(Z5&lt;0,V5&gt;=0)),"nm",IF(AND(Z5&lt;0,V5&lt;0),IF(-(Z5/V5-1)*100&lt;-100,"(&gt;100)",-(Z5/V5-1)*100),IF((Z5/V5-1)*100&gt;100,"&gt;100",(Z5/V5-1)*100))))</f>
        <v>8.023308898900016</v>
      </c>
      <c r="AC5" s="15"/>
      <c r="AD5" s="17">
        <v>225346</v>
      </c>
      <c r="AE5" s="125">
        <v>242907</v>
      </c>
      <c r="AF5" s="17">
        <f>IF(AND(AE5=0,AD5=0),0,IF(OR(AND(AE5&gt;0,AD5&lt;=0),AND(AE5&lt;0,AD5&gt;=0)),"nm",IF(AND(AE5&lt;0,AD5&lt;0),IF(-(AE5/AD5-1)*100&lt;-100,"(&gt;100)",-(AE5/AD5-1)*100),IF((AE5/AD5-1)*100&gt;100,"&gt;100",(AE5/AD5-1)*100))))</f>
        <v>7.792905132551731</v>
      </c>
    </row>
    <row r="6" spans="2:32" s="18" customFormat="1" ht="15">
      <c r="B6" s="31" t="s">
        <v>97</v>
      </c>
      <c r="D6" s="17">
        <v>93957</v>
      </c>
      <c r="E6" s="17">
        <v>103842</v>
      </c>
      <c r="F6" s="17">
        <v>112228</v>
      </c>
      <c r="G6" s="17">
        <v>122992</v>
      </c>
      <c r="H6" s="17">
        <v>131000</v>
      </c>
      <c r="I6" s="17"/>
      <c r="J6" s="17">
        <v>98356</v>
      </c>
      <c r="K6" s="17">
        <f>K7+K8+K9+K10</f>
        <v>99415</v>
      </c>
      <c r="L6" s="17">
        <v>99475</v>
      </c>
      <c r="M6" s="17">
        <v>103842</v>
      </c>
      <c r="N6" s="17">
        <v>104748</v>
      </c>
      <c r="O6" s="17">
        <v>105209</v>
      </c>
      <c r="P6" s="17">
        <v>105672</v>
      </c>
      <c r="Q6" s="17">
        <v>112228</v>
      </c>
      <c r="R6" s="17">
        <v>115409</v>
      </c>
      <c r="S6" s="17">
        <v>119723</v>
      </c>
      <c r="T6" s="17">
        <v>120913</v>
      </c>
      <c r="U6" s="17">
        <v>122992</v>
      </c>
      <c r="V6" s="17">
        <v>126767</v>
      </c>
      <c r="W6" s="17">
        <v>124091</v>
      </c>
      <c r="X6" s="17">
        <v>129199</v>
      </c>
      <c r="Y6" s="17">
        <v>131000</v>
      </c>
      <c r="Z6" s="125">
        <v>134295</v>
      </c>
      <c r="AA6" s="17">
        <f aca="true" t="shared" si="0" ref="AA6:AA25">IF(AND(Z6=0,Y6=0),0,IF(OR(AND(Z6&gt;0,Y6&lt;=0),AND(Z6&lt;0,Y6&gt;=0)),"nm",IF(AND(Z6&lt;0,Y6&lt;0),IF(-(Z6/Y6-1)*100&lt;-100,"(&gt;100)",-(Z6/Y6-1)*100),IF((Z6/Y6-1)*100&gt;100,"&gt;100",(Z6/Y6-1)*100))))</f>
        <v>2.515267175572511</v>
      </c>
      <c r="AB6" s="17">
        <f aca="true" t="shared" si="1" ref="AB6:AB25">IF(AND(Z6=0,V6=0),0,IF(OR(AND(Z6&gt;0,V6&lt;=0),AND(Z6&lt;0,V6&gt;=0)),"nm",IF(AND(Z6&lt;0,V6&lt;0),IF(-(Z6/V6-1)*100&lt;-100,"(&gt;100)",-(Z6/V6-1)*100),IF((Z6/V6-1)*100&gt;100,"&gt;100",(Z6/V6-1)*100))))</f>
        <v>5.938454014057282</v>
      </c>
      <c r="AC6" s="15"/>
      <c r="AD6" s="17">
        <v>122992</v>
      </c>
      <c r="AE6" s="440">
        <v>131000</v>
      </c>
      <c r="AF6" s="17">
        <f aca="true" t="shared" si="2" ref="AF6:AF11">IF(AND(AE6=0,AD6=0),0,IF(OR(AND(AE6&gt;0,AD6&lt;=0),AND(AE6&lt;0,AD6&gt;=0)),"nm",IF(AND(AE6&lt;0,AD6&lt;0),IF(-(AE6/AD6-1)*100&lt;-100,"(&gt;100)",-(AE6/AD6-1)*100),IF((AE6/AD6-1)*100&gt;100,"&gt;100",(AE6/AD6-1)*100))))</f>
        <v>6.510992584883568</v>
      </c>
    </row>
    <row r="7" spans="2:36" ht="15">
      <c r="B7" s="36"/>
      <c r="C7" s="22" t="s">
        <v>109</v>
      </c>
      <c r="D7" s="75">
        <v>20645</v>
      </c>
      <c r="E7" s="75">
        <v>20617</v>
      </c>
      <c r="F7" s="75">
        <v>20081</v>
      </c>
      <c r="G7" s="75">
        <v>17701</v>
      </c>
      <c r="H7" s="75">
        <v>19501</v>
      </c>
      <c r="J7" s="75">
        <v>19692</v>
      </c>
      <c r="K7" s="75">
        <v>18616</v>
      </c>
      <c r="L7" s="75">
        <v>18358</v>
      </c>
      <c r="M7" s="75">
        <v>20617</v>
      </c>
      <c r="N7" s="75">
        <v>18691</v>
      </c>
      <c r="O7" s="75">
        <v>17921</v>
      </c>
      <c r="P7" s="75">
        <v>16473</v>
      </c>
      <c r="Q7" s="75">
        <v>20081</v>
      </c>
      <c r="R7" s="75">
        <v>20078</v>
      </c>
      <c r="S7" s="75">
        <v>20787</v>
      </c>
      <c r="T7" s="75">
        <v>19793</v>
      </c>
      <c r="U7" s="75">
        <v>17701</v>
      </c>
      <c r="V7" s="75">
        <v>19670</v>
      </c>
      <c r="W7" s="75">
        <v>17805</v>
      </c>
      <c r="X7" s="75">
        <v>20310</v>
      </c>
      <c r="Y7" s="75">
        <v>19501</v>
      </c>
      <c r="Z7" s="119">
        <v>17636</v>
      </c>
      <c r="AA7" s="75">
        <f t="shared" si="0"/>
        <v>-9.563612122455256</v>
      </c>
      <c r="AB7" s="75">
        <f t="shared" si="1"/>
        <v>-10.340620233858665</v>
      </c>
      <c r="AD7" s="75">
        <v>17701</v>
      </c>
      <c r="AE7" s="441">
        <v>19501</v>
      </c>
      <c r="AF7" s="75">
        <f t="shared" si="2"/>
        <v>10.168917010338397</v>
      </c>
      <c r="AG7" s="18"/>
      <c r="AH7" s="18"/>
      <c r="AI7" s="18"/>
      <c r="AJ7" s="18"/>
    </row>
    <row r="8" spans="2:36" ht="15">
      <c r="B8" s="36"/>
      <c r="C8" s="22" t="s">
        <v>110</v>
      </c>
      <c r="D8" s="75">
        <v>62068</v>
      </c>
      <c r="E8" s="75">
        <v>69160</v>
      </c>
      <c r="F8" s="75">
        <v>76417</v>
      </c>
      <c r="G8" s="75">
        <v>86065</v>
      </c>
      <c r="H8" s="75">
        <v>90561</v>
      </c>
      <c r="J8" s="75">
        <v>65803</v>
      </c>
      <c r="K8" s="75">
        <v>66680</v>
      </c>
      <c r="L8" s="75">
        <v>67186</v>
      </c>
      <c r="M8" s="75">
        <v>69160</v>
      </c>
      <c r="N8" s="75">
        <v>71473</v>
      </c>
      <c r="O8" s="75">
        <v>72073</v>
      </c>
      <c r="P8" s="75">
        <v>74068</v>
      </c>
      <c r="Q8" s="75">
        <v>76417</v>
      </c>
      <c r="R8" s="75">
        <v>78983</v>
      </c>
      <c r="S8" s="75">
        <v>81169</v>
      </c>
      <c r="T8" s="75">
        <v>82657</v>
      </c>
      <c r="U8" s="75">
        <v>86065</v>
      </c>
      <c r="V8" s="75">
        <v>87762</v>
      </c>
      <c r="W8" s="75">
        <v>87169</v>
      </c>
      <c r="X8" s="75">
        <v>88839</v>
      </c>
      <c r="Y8" s="75">
        <v>90561</v>
      </c>
      <c r="Z8" s="119">
        <v>94485</v>
      </c>
      <c r="AA8" s="75">
        <f t="shared" si="0"/>
        <v>4.332991022625632</v>
      </c>
      <c r="AB8" s="75">
        <f t="shared" si="1"/>
        <v>7.660490873043013</v>
      </c>
      <c r="AD8" s="75">
        <v>86065</v>
      </c>
      <c r="AE8" s="441">
        <v>90561</v>
      </c>
      <c r="AF8" s="75">
        <f>IF(AND(AE8=0,AD8=0),0,IF(OR(AND(AE8&gt;0,AD8&lt;=0),AND(AE8&lt;0,AD8&gt;=0)),"nm",IF(AND(AE8&lt;0,AD8&lt;0),IF(-(AE8/AD8-1)*100&lt;-100,"(&gt;100)",-(AE8/AD8-1)*100),IF((AE8/AD8-1)*100&gt;100,"&gt;100",(AE8/AD8-1)*100))))</f>
        <v>5.223958635914716</v>
      </c>
      <c r="AG8" s="18"/>
      <c r="AH8" s="18"/>
      <c r="AI8" s="18"/>
      <c r="AJ8" s="18"/>
    </row>
    <row r="9" spans="2:36" ht="15">
      <c r="B9" s="36"/>
      <c r="C9" s="22" t="s">
        <v>111</v>
      </c>
      <c r="D9" s="75">
        <v>10359</v>
      </c>
      <c r="E9" s="75">
        <v>12697</v>
      </c>
      <c r="F9" s="75">
        <v>14916</v>
      </c>
      <c r="G9" s="75">
        <v>18004</v>
      </c>
      <c r="H9" s="75">
        <v>20024</v>
      </c>
      <c r="J9" s="75">
        <v>12198</v>
      </c>
      <c r="K9" s="75">
        <v>12742</v>
      </c>
      <c r="L9" s="75">
        <v>12794</v>
      </c>
      <c r="M9" s="75">
        <v>12697</v>
      </c>
      <c r="N9" s="75">
        <v>13213</v>
      </c>
      <c r="O9" s="75">
        <v>14392</v>
      </c>
      <c r="P9" s="75">
        <v>14431</v>
      </c>
      <c r="Q9" s="75">
        <v>14916</v>
      </c>
      <c r="R9" s="75">
        <v>15619</v>
      </c>
      <c r="S9" s="75">
        <v>17143</v>
      </c>
      <c r="T9" s="75">
        <v>17737</v>
      </c>
      <c r="U9" s="75">
        <v>18004</v>
      </c>
      <c r="V9" s="75">
        <v>18568</v>
      </c>
      <c r="W9" s="75">
        <v>18371</v>
      </c>
      <c r="X9" s="75">
        <v>19308</v>
      </c>
      <c r="Y9" s="75">
        <v>20024</v>
      </c>
      <c r="Z9" s="119">
        <v>20759</v>
      </c>
      <c r="AA9" s="75">
        <f t="shared" si="0"/>
        <v>3.6705952856572077</v>
      </c>
      <c r="AB9" s="75">
        <f t="shared" si="1"/>
        <v>11.799870745368368</v>
      </c>
      <c r="AD9" s="75">
        <v>18004</v>
      </c>
      <c r="AE9" s="441">
        <v>20024</v>
      </c>
      <c r="AF9" s="75">
        <f t="shared" si="2"/>
        <v>11.21972894912242</v>
      </c>
      <c r="AG9" s="18"/>
      <c r="AH9" s="18"/>
      <c r="AI9" s="18"/>
      <c r="AJ9" s="18"/>
    </row>
    <row r="10" spans="3:36" ht="15">
      <c r="C10" s="33" t="s">
        <v>35</v>
      </c>
      <c r="D10" s="75">
        <v>885</v>
      </c>
      <c r="E10" s="75">
        <v>1368</v>
      </c>
      <c r="F10" s="75">
        <v>814</v>
      </c>
      <c r="G10" s="75">
        <v>1222</v>
      </c>
      <c r="H10" s="75">
        <v>914</v>
      </c>
      <c r="J10" s="75">
        <v>663</v>
      </c>
      <c r="K10" s="75">
        <v>1377</v>
      </c>
      <c r="L10" s="75">
        <v>1137</v>
      </c>
      <c r="M10" s="75">
        <v>1368</v>
      </c>
      <c r="N10" s="75">
        <v>1371</v>
      </c>
      <c r="O10" s="75">
        <v>823</v>
      </c>
      <c r="P10" s="75">
        <v>700</v>
      </c>
      <c r="Q10" s="75">
        <v>814</v>
      </c>
      <c r="R10" s="75">
        <v>729</v>
      </c>
      <c r="S10" s="75">
        <v>624</v>
      </c>
      <c r="T10" s="75">
        <v>726</v>
      </c>
      <c r="U10" s="75">
        <v>1222</v>
      </c>
      <c r="V10" s="75">
        <v>767</v>
      </c>
      <c r="W10" s="75">
        <v>746</v>
      </c>
      <c r="X10" s="75">
        <v>742</v>
      </c>
      <c r="Y10" s="75">
        <v>914</v>
      </c>
      <c r="Z10" s="119">
        <v>1415</v>
      </c>
      <c r="AA10" s="75">
        <f t="shared" si="0"/>
        <v>54.814004376367606</v>
      </c>
      <c r="AB10" s="75">
        <f t="shared" si="1"/>
        <v>84.48500651890483</v>
      </c>
      <c r="AD10" s="75">
        <v>1222</v>
      </c>
      <c r="AE10" s="441">
        <v>914</v>
      </c>
      <c r="AF10" s="75">
        <f t="shared" si="2"/>
        <v>-25.20458265139116</v>
      </c>
      <c r="AG10" s="18"/>
      <c r="AH10" s="18"/>
      <c r="AI10" s="18"/>
      <c r="AJ10" s="18"/>
    </row>
    <row r="11" spans="2:32" s="18" customFormat="1" ht="15">
      <c r="B11" s="18" t="s">
        <v>98</v>
      </c>
      <c r="D11" s="17">
        <v>23536</v>
      </c>
      <c r="E11" s="17">
        <v>23625</v>
      </c>
      <c r="F11" s="17">
        <v>23220</v>
      </c>
      <c r="G11" s="17">
        <v>21733</v>
      </c>
      <c r="H11" s="162">
        <v>25730</v>
      </c>
      <c r="I11" s="162"/>
      <c r="J11" s="162">
        <v>25147</v>
      </c>
      <c r="K11" s="162">
        <f>K12+K13+K14+K15</f>
        <v>25414</v>
      </c>
      <c r="L11" s="162">
        <v>25047</v>
      </c>
      <c r="M11" s="162">
        <v>23625</v>
      </c>
      <c r="N11" s="162">
        <v>23195</v>
      </c>
      <c r="O11" s="162">
        <v>23555</v>
      </c>
      <c r="P11" s="162">
        <v>23159</v>
      </c>
      <c r="Q11" s="162">
        <v>23220</v>
      </c>
      <c r="R11" s="162">
        <v>21188</v>
      </c>
      <c r="S11" s="162">
        <v>20217</v>
      </c>
      <c r="T11" s="162">
        <v>23786</v>
      </c>
      <c r="U11" s="162">
        <v>21733</v>
      </c>
      <c r="V11" s="162">
        <v>23408</v>
      </c>
      <c r="W11" s="162">
        <v>21422</v>
      </c>
      <c r="X11" s="162">
        <v>22729</v>
      </c>
      <c r="Y11" s="162">
        <v>25730</v>
      </c>
      <c r="Z11" s="439">
        <v>27187</v>
      </c>
      <c r="AA11" s="162">
        <f t="shared" si="0"/>
        <v>5.662650602409647</v>
      </c>
      <c r="AB11" s="162">
        <f t="shared" si="1"/>
        <v>16.144053315105957</v>
      </c>
      <c r="AC11" s="326"/>
      <c r="AD11" s="162">
        <v>21733</v>
      </c>
      <c r="AE11" s="442">
        <v>25730</v>
      </c>
      <c r="AF11" s="17">
        <f t="shared" si="2"/>
        <v>18.39138637095661</v>
      </c>
    </row>
    <row r="12" spans="2:36" ht="15">
      <c r="B12" s="36"/>
      <c r="C12" s="22" t="s">
        <v>109</v>
      </c>
      <c r="D12" s="75">
        <v>15721</v>
      </c>
      <c r="E12" s="75">
        <v>12285</v>
      </c>
      <c r="F12" s="75">
        <v>12946</v>
      </c>
      <c r="G12" s="75">
        <v>12559</v>
      </c>
      <c r="H12" s="121">
        <v>15690</v>
      </c>
      <c r="I12" s="121"/>
      <c r="J12" s="121">
        <v>15579</v>
      </c>
      <c r="K12" s="121">
        <v>14837</v>
      </c>
      <c r="L12" s="121">
        <v>13084</v>
      </c>
      <c r="M12" s="121">
        <v>12285</v>
      </c>
      <c r="N12" s="121">
        <v>12040</v>
      </c>
      <c r="O12" s="121">
        <v>13281</v>
      </c>
      <c r="P12" s="121">
        <v>12427</v>
      </c>
      <c r="Q12" s="121">
        <v>12946</v>
      </c>
      <c r="R12" s="121">
        <v>10801</v>
      </c>
      <c r="S12" s="121">
        <v>10694</v>
      </c>
      <c r="T12" s="121">
        <v>13979</v>
      </c>
      <c r="U12" s="121">
        <v>12559</v>
      </c>
      <c r="V12" s="121">
        <v>14009</v>
      </c>
      <c r="W12" s="121">
        <v>11319</v>
      </c>
      <c r="X12" s="121">
        <v>12694</v>
      </c>
      <c r="Y12" s="121">
        <v>15690</v>
      </c>
      <c r="Z12" s="122">
        <v>16569</v>
      </c>
      <c r="AA12" s="121">
        <f t="shared" si="0"/>
        <v>5.602294455066925</v>
      </c>
      <c r="AB12" s="121">
        <f t="shared" si="1"/>
        <v>18.273966735669923</v>
      </c>
      <c r="AC12" s="19"/>
      <c r="AD12" s="121">
        <v>12559</v>
      </c>
      <c r="AE12" s="434">
        <v>15690</v>
      </c>
      <c r="AF12" s="75">
        <f>IF(AND(AE12=0,AD12=0),0,IF(OR(AND(AE12&gt;0,AD12&lt;=0),AND(AE12&lt;0,AD12&gt;=0)),"nm",IF(AND(AE12&lt;0,AD12&lt;0),IF(-(AE12/AD12-1)*100&lt;-100,"(&gt;100)",-(AE12/AD12-1)*100),IF((AE12/AD12-1)*100&gt;100,"&gt;100",(AE12/AD12-1)*100))))</f>
        <v>24.93032884783821</v>
      </c>
      <c r="AG12" s="18"/>
      <c r="AH12" s="18"/>
      <c r="AI12" s="18"/>
      <c r="AJ12" s="18"/>
    </row>
    <row r="13" spans="2:36" ht="15">
      <c r="B13" s="36"/>
      <c r="C13" s="22" t="s">
        <v>110</v>
      </c>
      <c r="D13" s="75">
        <v>5030</v>
      </c>
      <c r="E13" s="75">
        <v>7932</v>
      </c>
      <c r="F13" s="75">
        <v>7082</v>
      </c>
      <c r="G13" s="75">
        <v>5693</v>
      </c>
      <c r="H13" s="121">
        <v>6283</v>
      </c>
      <c r="I13" s="121"/>
      <c r="J13" s="121">
        <v>6537</v>
      </c>
      <c r="K13" s="121">
        <v>7081</v>
      </c>
      <c r="L13" s="121">
        <v>8001</v>
      </c>
      <c r="M13" s="121">
        <v>7932</v>
      </c>
      <c r="N13" s="121">
        <v>7526</v>
      </c>
      <c r="O13" s="121">
        <v>6942</v>
      </c>
      <c r="P13" s="121">
        <v>6902</v>
      </c>
      <c r="Q13" s="121">
        <v>7082</v>
      </c>
      <c r="R13" s="121">
        <v>6622</v>
      </c>
      <c r="S13" s="121">
        <v>6263</v>
      </c>
      <c r="T13" s="121">
        <v>6202</v>
      </c>
      <c r="U13" s="121">
        <v>5693</v>
      </c>
      <c r="V13" s="121">
        <v>5578</v>
      </c>
      <c r="W13" s="121">
        <v>6227</v>
      </c>
      <c r="X13" s="121">
        <v>5858</v>
      </c>
      <c r="Y13" s="121">
        <v>6283</v>
      </c>
      <c r="Z13" s="122">
        <v>6483</v>
      </c>
      <c r="AA13" s="121">
        <f t="shared" si="0"/>
        <v>3.183192742320551</v>
      </c>
      <c r="AB13" s="121">
        <f t="shared" si="1"/>
        <v>16.224453209035495</v>
      </c>
      <c r="AC13" s="19"/>
      <c r="AD13" s="121">
        <v>5693</v>
      </c>
      <c r="AE13" s="434">
        <v>6283</v>
      </c>
      <c r="AF13" s="75">
        <f aca="true" t="shared" si="3" ref="AF13:AF25">IF(AND(AE13=0,AD13=0),0,IF(OR(AND(AE13&gt;0,AD13&lt;=0),AND(AE13&lt;0,AD13&gt;=0)),"nm",IF(AND(AE13&lt;0,AD13&lt;0),IF(-(AE13/AD13-1)*100&lt;-100,"(&gt;100)",-(AE13/AD13-1)*100),IF((AE13/AD13-1)*100&gt;100,"&gt;100",(AE13/AD13-1)*100))))</f>
        <v>10.36360442648867</v>
      </c>
      <c r="AG13" s="18"/>
      <c r="AH13" s="18"/>
      <c r="AI13" s="18"/>
      <c r="AJ13" s="18"/>
    </row>
    <row r="14" spans="2:36" ht="15">
      <c r="B14" s="36"/>
      <c r="C14" s="22" t="s">
        <v>111</v>
      </c>
      <c r="D14" s="75">
        <v>2211</v>
      </c>
      <c r="E14" s="75">
        <v>3254</v>
      </c>
      <c r="F14" s="75">
        <v>3081</v>
      </c>
      <c r="G14" s="75">
        <v>3143</v>
      </c>
      <c r="H14" s="121">
        <v>3516</v>
      </c>
      <c r="I14" s="121"/>
      <c r="J14" s="121">
        <v>2702</v>
      </c>
      <c r="K14" s="121">
        <v>3046</v>
      </c>
      <c r="L14" s="121">
        <v>3609</v>
      </c>
      <c r="M14" s="121">
        <v>3254</v>
      </c>
      <c r="N14" s="121">
        <v>3477</v>
      </c>
      <c r="O14" s="121">
        <v>3252</v>
      </c>
      <c r="P14" s="121">
        <v>3666</v>
      </c>
      <c r="Q14" s="121">
        <v>3081</v>
      </c>
      <c r="R14" s="121">
        <v>3261</v>
      </c>
      <c r="S14" s="121">
        <v>2929</v>
      </c>
      <c r="T14" s="121">
        <v>3153</v>
      </c>
      <c r="U14" s="121">
        <v>3143</v>
      </c>
      <c r="V14" s="121">
        <v>3451</v>
      </c>
      <c r="W14" s="121">
        <v>3700</v>
      </c>
      <c r="X14" s="121">
        <v>3869</v>
      </c>
      <c r="Y14" s="121">
        <v>3516</v>
      </c>
      <c r="Z14" s="122">
        <v>3953</v>
      </c>
      <c r="AA14" s="121">
        <f t="shared" si="0"/>
        <v>12.428896473265084</v>
      </c>
      <c r="AB14" s="121">
        <f t="shared" si="1"/>
        <v>14.54650825847581</v>
      </c>
      <c r="AC14" s="19"/>
      <c r="AD14" s="121">
        <v>3143</v>
      </c>
      <c r="AE14" s="434">
        <v>3516</v>
      </c>
      <c r="AF14" s="75">
        <f>IF(AND(AE14=0,AD14=0),0,IF(OR(AND(AE14&gt;0,AD14&lt;=0),AND(AE14&lt;0,AD14&gt;=0)),"nm",IF(AND(AE14&lt;0,AD14&lt;0),IF(-(AE14/AD14-1)*100&lt;-100,"(&gt;100)",-(AE14/AD14-1)*100),IF((AE14/AD14-1)*100&gt;100,"&gt;100",(AE14/AD14-1)*100))))</f>
        <v>11.86764237989182</v>
      </c>
      <c r="AG14" s="18"/>
      <c r="AH14" s="18"/>
      <c r="AI14" s="18"/>
      <c r="AJ14" s="18"/>
    </row>
    <row r="15" spans="3:36" ht="15">
      <c r="C15" s="33" t="s">
        <v>35</v>
      </c>
      <c r="D15" s="75">
        <v>574</v>
      </c>
      <c r="E15" s="75">
        <v>154</v>
      </c>
      <c r="F15" s="75">
        <v>111</v>
      </c>
      <c r="G15" s="75">
        <v>338</v>
      </c>
      <c r="H15" s="121">
        <v>241</v>
      </c>
      <c r="I15" s="121"/>
      <c r="J15" s="121">
        <v>329</v>
      </c>
      <c r="K15" s="121">
        <v>450</v>
      </c>
      <c r="L15" s="121">
        <v>353</v>
      </c>
      <c r="M15" s="121">
        <v>154</v>
      </c>
      <c r="N15" s="121">
        <v>152</v>
      </c>
      <c r="O15" s="121">
        <v>80</v>
      </c>
      <c r="P15" s="121">
        <v>164</v>
      </c>
      <c r="Q15" s="121">
        <v>111</v>
      </c>
      <c r="R15" s="121">
        <v>504</v>
      </c>
      <c r="S15" s="121">
        <v>331</v>
      </c>
      <c r="T15" s="121">
        <v>452</v>
      </c>
      <c r="U15" s="121">
        <v>338</v>
      </c>
      <c r="V15" s="121">
        <v>370</v>
      </c>
      <c r="W15" s="121">
        <v>176</v>
      </c>
      <c r="X15" s="121">
        <v>308</v>
      </c>
      <c r="Y15" s="121">
        <v>241</v>
      </c>
      <c r="Z15" s="122">
        <v>182</v>
      </c>
      <c r="AA15" s="121">
        <f t="shared" si="0"/>
        <v>-24.481327800829877</v>
      </c>
      <c r="AB15" s="121">
        <f t="shared" si="1"/>
        <v>-50.8108108108108</v>
      </c>
      <c r="AC15" s="19"/>
      <c r="AD15" s="121">
        <v>338</v>
      </c>
      <c r="AE15" s="443">
        <v>241</v>
      </c>
      <c r="AF15" s="75">
        <f t="shared" si="3"/>
        <v>-28.698224852071007</v>
      </c>
      <c r="AG15" s="18"/>
      <c r="AH15" s="18"/>
      <c r="AI15" s="18"/>
      <c r="AJ15" s="18"/>
    </row>
    <row r="16" spans="2:36" s="24" customFormat="1" ht="14.25" customHeight="1">
      <c r="B16" s="24" t="s">
        <v>99</v>
      </c>
      <c r="D16" s="17">
        <v>28247</v>
      </c>
      <c r="E16" s="17">
        <v>29018</v>
      </c>
      <c r="F16" s="17">
        <v>30022</v>
      </c>
      <c r="G16" s="17">
        <v>40336</v>
      </c>
      <c r="H16" s="17">
        <v>45981</v>
      </c>
      <c r="I16" s="17"/>
      <c r="J16" s="17">
        <v>30615</v>
      </c>
      <c r="K16" s="17">
        <f>K17+K18+K19+K20</f>
        <v>29013</v>
      </c>
      <c r="L16" s="17">
        <v>30523</v>
      </c>
      <c r="M16" s="17">
        <v>29018</v>
      </c>
      <c r="N16" s="17">
        <v>27282</v>
      </c>
      <c r="O16" s="17">
        <v>26104</v>
      </c>
      <c r="P16" s="17">
        <v>28699</v>
      </c>
      <c r="Q16" s="17">
        <v>30022</v>
      </c>
      <c r="R16" s="17">
        <v>29111</v>
      </c>
      <c r="S16" s="17">
        <v>33868</v>
      </c>
      <c r="T16" s="17">
        <v>34019</v>
      </c>
      <c r="U16" s="17">
        <v>40336</v>
      </c>
      <c r="V16" s="17">
        <v>43177</v>
      </c>
      <c r="W16" s="17">
        <v>43603</v>
      </c>
      <c r="X16" s="17">
        <v>48353</v>
      </c>
      <c r="Y16" s="17">
        <v>45981</v>
      </c>
      <c r="Z16" s="125">
        <v>44740</v>
      </c>
      <c r="AA16" s="17">
        <f t="shared" si="0"/>
        <v>-2.6989408668797954</v>
      </c>
      <c r="AB16" s="17">
        <f t="shared" si="1"/>
        <v>3.619982861245563</v>
      </c>
      <c r="AD16" s="17">
        <v>40336</v>
      </c>
      <c r="AE16" s="440">
        <v>45981</v>
      </c>
      <c r="AF16" s="17">
        <f>IF(AND(AE16=0,AD16=0),0,IF(OR(AND(AE16&gt;0,AD16&lt;=0),AND(AE16&lt;0,AD16&gt;=0)),"nm",IF(AND(AE16&lt;0,AD16&lt;0),IF(-(AE16/AD16-1)*100&lt;-100,"(&gt;100)",-(AE16/AD16-1)*100),IF((AE16/AD16-1)*100&gt;100,"&gt;100",(AE16/AD16-1)*100))))</f>
        <v>13.994942483141614</v>
      </c>
      <c r="AG16" s="18"/>
      <c r="AH16" s="18"/>
      <c r="AI16" s="18"/>
      <c r="AJ16" s="18"/>
    </row>
    <row r="17" spans="2:36" ht="15">
      <c r="B17" s="36"/>
      <c r="C17" s="22" t="s">
        <v>109</v>
      </c>
      <c r="D17" s="75">
        <v>19365</v>
      </c>
      <c r="E17" s="75">
        <v>14912</v>
      </c>
      <c r="F17" s="75">
        <v>16064</v>
      </c>
      <c r="G17" s="75">
        <v>20590</v>
      </c>
      <c r="H17" s="75">
        <v>24124</v>
      </c>
      <c r="J17" s="75">
        <v>19926</v>
      </c>
      <c r="K17" s="75">
        <v>18737</v>
      </c>
      <c r="L17" s="75">
        <v>17371</v>
      </c>
      <c r="M17" s="75">
        <v>14912</v>
      </c>
      <c r="N17" s="75">
        <v>14490</v>
      </c>
      <c r="O17" s="75">
        <v>13185</v>
      </c>
      <c r="P17" s="75">
        <v>15969</v>
      </c>
      <c r="Q17" s="75">
        <v>16064</v>
      </c>
      <c r="R17" s="75">
        <v>15187</v>
      </c>
      <c r="S17" s="75">
        <v>16134</v>
      </c>
      <c r="T17" s="75">
        <v>17149</v>
      </c>
      <c r="U17" s="75">
        <v>20590</v>
      </c>
      <c r="V17" s="75">
        <v>23525</v>
      </c>
      <c r="W17" s="75">
        <v>22021</v>
      </c>
      <c r="X17" s="75">
        <v>24119</v>
      </c>
      <c r="Y17" s="75">
        <v>24124</v>
      </c>
      <c r="Z17" s="119">
        <v>21609</v>
      </c>
      <c r="AA17" s="75">
        <f t="shared" si="0"/>
        <v>-10.425302603216712</v>
      </c>
      <c r="AB17" s="75">
        <f t="shared" si="1"/>
        <v>-8.144527098831034</v>
      </c>
      <c r="AD17" s="75">
        <v>20590</v>
      </c>
      <c r="AE17" s="441">
        <v>24124</v>
      </c>
      <c r="AF17" s="75">
        <f>IF(AND(AE17=0,AD17=0),0,IF(OR(AND(AE17&gt;0,AD17&lt;=0),AND(AE17&lt;0,AD17&gt;=0)),"nm",IF(AND(AE17&lt;0,AD17&lt;0),IF(-(AE17/AD17-1)*100&lt;-100,"(&gt;100)",-(AE17/AD17-1)*100),IF((AE17/AD17-1)*100&gt;100,"&gt;100",(AE17/AD17-1)*100))))</f>
        <v>17.163671685284122</v>
      </c>
      <c r="AG17" s="18"/>
      <c r="AH17" s="18"/>
      <c r="AI17" s="18"/>
      <c r="AJ17" s="18"/>
    </row>
    <row r="18" spans="2:36" ht="15">
      <c r="B18" s="36"/>
      <c r="C18" s="22" t="s">
        <v>110</v>
      </c>
      <c r="D18" s="75">
        <v>2040</v>
      </c>
      <c r="E18" s="75">
        <v>3468</v>
      </c>
      <c r="F18" s="75">
        <v>3255</v>
      </c>
      <c r="G18" s="75">
        <v>3206</v>
      </c>
      <c r="H18" s="75">
        <v>4256</v>
      </c>
      <c r="J18" s="75">
        <v>2607</v>
      </c>
      <c r="K18" s="75">
        <v>2878</v>
      </c>
      <c r="L18" s="75">
        <v>3484</v>
      </c>
      <c r="M18" s="75">
        <v>3468</v>
      </c>
      <c r="N18" s="75">
        <v>3412</v>
      </c>
      <c r="O18" s="75">
        <v>3193</v>
      </c>
      <c r="P18" s="75">
        <v>3244</v>
      </c>
      <c r="Q18" s="75">
        <v>3255</v>
      </c>
      <c r="R18" s="75">
        <v>3218</v>
      </c>
      <c r="S18" s="75">
        <v>2925</v>
      </c>
      <c r="T18" s="75">
        <v>2849</v>
      </c>
      <c r="U18" s="75">
        <v>3206</v>
      </c>
      <c r="V18" s="75">
        <v>3355</v>
      </c>
      <c r="W18" s="75">
        <v>3345</v>
      </c>
      <c r="X18" s="75">
        <v>4422</v>
      </c>
      <c r="Y18" s="75">
        <v>4256</v>
      </c>
      <c r="Z18" s="119">
        <v>5053</v>
      </c>
      <c r="AA18" s="75">
        <f t="shared" si="0"/>
        <v>18.726503759398504</v>
      </c>
      <c r="AB18" s="75">
        <f t="shared" si="1"/>
        <v>50.61102831594635</v>
      </c>
      <c r="AD18" s="75">
        <v>3206</v>
      </c>
      <c r="AE18" s="441">
        <v>4256</v>
      </c>
      <c r="AF18" s="75">
        <f t="shared" si="3"/>
        <v>32.751091703056765</v>
      </c>
      <c r="AG18" s="18"/>
      <c r="AH18" s="18"/>
      <c r="AI18" s="18"/>
      <c r="AJ18" s="18"/>
    </row>
    <row r="19" spans="2:36" ht="15">
      <c r="B19" s="36"/>
      <c r="C19" s="22" t="s">
        <v>111</v>
      </c>
      <c r="D19" s="75">
        <v>5982</v>
      </c>
      <c r="E19" s="75">
        <v>8846</v>
      </c>
      <c r="F19" s="75">
        <v>9777</v>
      </c>
      <c r="G19" s="75">
        <v>13494</v>
      </c>
      <c r="H19" s="75">
        <v>15332</v>
      </c>
      <c r="J19" s="75">
        <v>7309</v>
      </c>
      <c r="K19" s="75">
        <v>6853</v>
      </c>
      <c r="L19" s="75">
        <v>8231</v>
      </c>
      <c r="M19" s="75">
        <v>8846</v>
      </c>
      <c r="N19" s="75">
        <v>7253</v>
      </c>
      <c r="O19" s="75">
        <v>7053</v>
      </c>
      <c r="P19" s="75">
        <v>7815</v>
      </c>
      <c r="Q19" s="75">
        <v>9777</v>
      </c>
      <c r="R19" s="75">
        <v>8965</v>
      </c>
      <c r="S19" s="75">
        <v>12767</v>
      </c>
      <c r="T19" s="75">
        <v>12813</v>
      </c>
      <c r="U19" s="75">
        <v>13494</v>
      </c>
      <c r="V19" s="75">
        <v>12929</v>
      </c>
      <c r="W19" s="75">
        <v>13629</v>
      </c>
      <c r="X19" s="75">
        <v>15620</v>
      </c>
      <c r="Y19" s="75">
        <v>15332</v>
      </c>
      <c r="Z19" s="119">
        <v>14685</v>
      </c>
      <c r="AA19" s="75">
        <f t="shared" si="0"/>
        <v>-4.219932168014607</v>
      </c>
      <c r="AB19" s="75">
        <f t="shared" si="1"/>
        <v>13.581870214247038</v>
      </c>
      <c r="AD19" s="75">
        <v>13494</v>
      </c>
      <c r="AE19" s="441">
        <v>15332</v>
      </c>
      <c r="AF19" s="75">
        <f t="shared" si="3"/>
        <v>13.620868534163332</v>
      </c>
      <c r="AG19" s="18"/>
      <c r="AH19" s="18"/>
      <c r="AI19" s="18"/>
      <c r="AJ19" s="18"/>
    </row>
    <row r="20" spans="3:36" ht="15">
      <c r="C20" s="33" t="s">
        <v>35</v>
      </c>
      <c r="D20" s="75">
        <v>860</v>
      </c>
      <c r="E20" s="75">
        <v>1792</v>
      </c>
      <c r="F20" s="75">
        <v>926</v>
      </c>
      <c r="G20" s="75">
        <v>3046</v>
      </c>
      <c r="H20" s="75">
        <v>2269</v>
      </c>
      <c r="J20" s="75">
        <v>773</v>
      </c>
      <c r="K20" s="75">
        <v>545</v>
      </c>
      <c r="L20" s="75">
        <v>1437</v>
      </c>
      <c r="M20" s="75">
        <v>1792</v>
      </c>
      <c r="N20" s="75">
        <v>2127</v>
      </c>
      <c r="O20" s="75">
        <v>2673</v>
      </c>
      <c r="P20" s="75">
        <v>1671</v>
      </c>
      <c r="Q20" s="75">
        <v>926</v>
      </c>
      <c r="R20" s="75">
        <v>1741</v>
      </c>
      <c r="S20" s="75">
        <v>2042</v>
      </c>
      <c r="T20" s="75">
        <v>1208</v>
      </c>
      <c r="U20" s="75">
        <v>3046</v>
      </c>
      <c r="V20" s="75">
        <v>3368</v>
      </c>
      <c r="W20" s="75">
        <v>4608</v>
      </c>
      <c r="X20" s="75">
        <v>4192</v>
      </c>
      <c r="Y20" s="75">
        <v>2269</v>
      </c>
      <c r="Z20" s="119">
        <v>3393</v>
      </c>
      <c r="AA20" s="75">
        <f t="shared" si="0"/>
        <v>49.53724107536359</v>
      </c>
      <c r="AB20" s="75">
        <f t="shared" si="1"/>
        <v>0.7422802850356236</v>
      </c>
      <c r="AD20" s="75">
        <v>3046</v>
      </c>
      <c r="AE20" s="441">
        <v>2269</v>
      </c>
      <c r="AF20" s="75">
        <f t="shared" si="3"/>
        <v>-25.508864084044646</v>
      </c>
      <c r="AG20" s="18"/>
      <c r="AH20" s="18"/>
      <c r="AI20" s="18"/>
      <c r="AJ20" s="18"/>
    </row>
    <row r="21" spans="2:32" s="18" customFormat="1" ht="15">
      <c r="B21" s="18" t="s">
        <v>35</v>
      </c>
      <c r="D21" s="17">
        <v>24118</v>
      </c>
      <c r="E21" s="17">
        <v>26947</v>
      </c>
      <c r="F21" s="17">
        <v>28222</v>
      </c>
      <c r="G21" s="17">
        <v>40285</v>
      </c>
      <c r="H21" s="162">
        <v>40196</v>
      </c>
      <c r="I21" s="162"/>
      <c r="J21" s="162">
        <v>25700</v>
      </c>
      <c r="K21" s="162">
        <f>K22+K23+K24+K25</f>
        <v>25191</v>
      </c>
      <c r="L21" s="162">
        <v>25140</v>
      </c>
      <c r="M21" s="162">
        <v>26947</v>
      </c>
      <c r="N21" s="162">
        <v>26335</v>
      </c>
      <c r="O21" s="162">
        <v>29061</v>
      </c>
      <c r="P21" s="162">
        <v>27681</v>
      </c>
      <c r="Q21" s="162">
        <v>28222</v>
      </c>
      <c r="R21" s="162">
        <v>33828</v>
      </c>
      <c r="S21" s="162">
        <v>36728</v>
      </c>
      <c r="T21" s="162">
        <v>40996</v>
      </c>
      <c r="U21" s="162">
        <v>40285</v>
      </c>
      <c r="V21" s="162">
        <v>38834</v>
      </c>
      <c r="W21" s="162">
        <v>41450</v>
      </c>
      <c r="X21" s="162">
        <v>39897</v>
      </c>
      <c r="Y21" s="162">
        <v>40196</v>
      </c>
      <c r="Z21" s="439">
        <v>44593</v>
      </c>
      <c r="AA21" s="162">
        <f t="shared" si="0"/>
        <v>10.938899392974433</v>
      </c>
      <c r="AB21" s="162">
        <f t="shared" si="1"/>
        <v>14.829788329814075</v>
      </c>
      <c r="AC21" s="326"/>
      <c r="AD21" s="162">
        <v>40285</v>
      </c>
      <c r="AE21" s="442">
        <v>40196</v>
      </c>
      <c r="AF21" s="17">
        <f t="shared" si="3"/>
        <v>-0.2209259029415378</v>
      </c>
    </row>
    <row r="22" spans="2:36" ht="15">
      <c r="B22" s="36"/>
      <c r="C22" s="22" t="s">
        <v>109</v>
      </c>
      <c r="D22" s="75">
        <v>20043</v>
      </c>
      <c r="E22" s="75">
        <v>20441</v>
      </c>
      <c r="F22" s="75">
        <v>22289</v>
      </c>
      <c r="G22" s="75">
        <v>32072</v>
      </c>
      <c r="H22" s="121">
        <v>32644</v>
      </c>
      <c r="I22" s="121"/>
      <c r="J22" s="121">
        <v>20693</v>
      </c>
      <c r="K22" s="121">
        <v>19836</v>
      </c>
      <c r="L22" s="121">
        <v>19438</v>
      </c>
      <c r="M22" s="121">
        <v>20441</v>
      </c>
      <c r="N22" s="121">
        <v>19405</v>
      </c>
      <c r="O22" s="121">
        <v>22636</v>
      </c>
      <c r="P22" s="121">
        <v>21725</v>
      </c>
      <c r="Q22" s="121">
        <v>22289</v>
      </c>
      <c r="R22" s="121">
        <v>27755</v>
      </c>
      <c r="S22" s="121">
        <v>29801</v>
      </c>
      <c r="T22" s="121">
        <v>31625</v>
      </c>
      <c r="U22" s="121">
        <v>32072</v>
      </c>
      <c r="V22" s="121">
        <v>31025</v>
      </c>
      <c r="W22" s="121">
        <v>34513</v>
      </c>
      <c r="X22" s="121">
        <v>32589</v>
      </c>
      <c r="Y22" s="121">
        <v>32644</v>
      </c>
      <c r="Z22" s="122">
        <v>36135</v>
      </c>
      <c r="AA22" s="121">
        <f t="shared" si="0"/>
        <v>10.694155128048033</v>
      </c>
      <c r="AB22" s="121">
        <f t="shared" si="1"/>
        <v>16.470588235294127</v>
      </c>
      <c r="AC22" s="19"/>
      <c r="AD22" s="121">
        <v>32072</v>
      </c>
      <c r="AE22" s="434">
        <v>32644</v>
      </c>
      <c r="AF22" s="75">
        <f t="shared" si="3"/>
        <v>1.7834871539037067</v>
      </c>
      <c r="AG22" s="18"/>
      <c r="AH22" s="18"/>
      <c r="AI22" s="18"/>
      <c r="AJ22" s="18"/>
    </row>
    <row r="23" spans="2:36" ht="15">
      <c r="B23" s="36"/>
      <c r="C23" s="22" t="s">
        <v>110</v>
      </c>
      <c r="D23" s="75">
        <v>1231</v>
      </c>
      <c r="E23" s="75">
        <v>2191</v>
      </c>
      <c r="F23" s="75">
        <v>2035</v>
      </c>
      <c r="G23" s="75">
        <v>2350</v>
      </c>
      <c r="H23" s="121">
        <v>2412</v>
      </c>
      <c r="I23" s="121"/>
      <c r="J23" s="121">
        <v>1441</v>
      </c>
      <c r="K23" s="121">
        <v>1615</v>
      </c>
      <c r="L23" s="121">
        <v>1882</v>
      </c>
      <c r="M23" s="121">
        <v>2191</v>
      </c>
      <c r="N23" s="121">
        <v>2124</v>
      </c>
      <c r="O23" s="121">
        <v>1981</v>
      </c>
      <c r="P23" s="121">
        <v>2286</v>
      </c>
      <c r="Q23" s="121">
        <v>2035</v>
      </c>
      <c r="R23" s="121">
        <v>1861</v>
      </c>
      <c r="S23" s="121">
        <v>2041</v>
      </c>
      <c r="T23" s="121">
        <v>2391</v>
      </c>
      <c r="U23" s="121">
        <v>2350</v>
      </c>
      <c r="V23" s="121">
        <v>2127</v>
      </c>
      <c r="W23" s="121">
        <v>2209</v>
      </c>
      <c r="X23" s="121">
        <v>2022</v>
      </c>
      <c r="Y23" s="121">
        <v>2412</v>
      </c>
      <c r="Z23" s="122">
        <v>3006</v>
      </c>
      <c r="AA23" s="121">
        <f t="shared" si="0"/>
        <v>24.626865671641784</v>
      </c>
      <c r="AB23" s="121">
        <f t="shared" si="1"/>
        <v>41.32581100141044</v>
      </c>
      <c r="AC23" s="19"/>
      <c r="AD23" s="121">
        <v>2350</v>
      </c>
      <c r="AE23" s="434">
        <v>2412</v>
      </c>
      <c r="AF23" s="75">
        <f t="shared" si="3"/>
        <v>2.6382978723404227</v>
      </c>
      <c r="AG23" s="18"/>
      <c r="AH23" s="18"/>
      <c r="AI23" s="18"/>
      <c r="AJ23" s="18"/>
    </row>
    <row r="24" spans="2:36" ht="15">
      <c r="B24" s="36"/>
      <c r="C24" s="22" t="s">
        <v>111</v>
      </c>
      <c r="D24" s="75">
        <v>2178</v>
      </c>
      <c r="E24" s="75">
        <v>2908</v>
      </c>
      <c r="F24" s="75">
        <v>2341</v>
      </c>
      <c r="G24" s="75">
        <v>3504</v>
      </c>
      <c r="H24" s="121">
        <v>3969</v>
      </c>
      <c r="I24" s="121"/>
      <c r="J24" s="121">
        <v>2295</v>
      </c>
      <c r="K24" s="121">
        <v>2218</v>
      </c>
      <c r="L24" s="121">
        <v>2369</v>
      </c>
      <c r="M24" s="121">
        <v>2908</v>
      </c>
      <c r="N24" s="121">
        <v>2485</v>
      </c>
      <c r="O24" s="121">
        <v>2499</v>
      </c>
      <c r="P24" s="121">
        <v>2197</v>
      </c>
      <c r="Q24" s="121">
        <v>2341</v>
      </c>
      <c r="R24" s="121">
        <v>2586</v>
      </c>
      <c r="S24" s="121">
        <v>2917</v>
      </c>
      <c r="T24" s="121">
        <v>4340</v>
      </c>
      <c r="U24" s="121">
        <v>3504</v>
      </c>
      <c r="V24" s="121">
        <v>3171</v>
      </c>
      <c r="W24" s="121">
        <v>3463</v>
      </c>
      <c r="X24" s="121">
        <v>3486</v>
      </c>
      <c r="Y24" s="121">
        <v>3969</v>
      </c>
      <c r="Z24" s="122">
        <v>4436</v>
      </c>
      <c r="AA24" s="121">
        <f t="shared" si="0"/>
        <v>11.766187956664155</v>
      </c>
      <c r="AB24" s="121">
        <f t="shared" si="1"/>
        <v>39.89277830337432</v>
      </c>
      <c r="AC24" s="19"/>
      <c r="AD24" s="121">
        <v>3504</v>
      </c>
      <c r="AE24" s="434">
        <v>3969</v>
      </c>
      <c r="AF24" s="75">
        <f t="shared" si="3"/>
        <v>13.270547945205479</v>
      </c>
      <c r="AG24" s="18"/>
      <c r="AH24" s="18"/>
      <c r="AI24" s="18"/>
      <c r="AJ24" s="18"/>
    </row>
    <row r="25" spans="3:36" ht="15">
      <c r="C25" s="33" t="s">
        <v>35</v>
      </c>
      <c r="D25" s="75">
        <v>666</v>
      </c>
      <c r="E25" s="75">
        <v>1407</v>
      </c>
      <c r="F25" s="75">
        <v>1557</v>
      </c>
      <c r="G25" s="75">
        <v>2359</v>
      </c>
      <c r="H25" s="121">
        <v>1171</v>
      </c>
      <c r="I25" s="121"/>
      <c r="J25" s="121">
        <v>1271</v>
      </c>
      <c r="K25" s="121">
        <v>1522</v>
      </c>
      <c r="L25" s="121">
        <v>1451</v>
      </c>
      <c r="M25" s="121">
        <v>1407</v>
      </c>
      <c r="N25" s="121">
        <v>2321</v>
      </c>
      <c r="O25" s="121">
        <v>1945</v>
      </c>
      <c r="P25" s="121">
        <v>1473</v>
      </c>
      <c r="Q25" s="121">
        <v>1557</v>
      </c>
      <c r="R25" s="121">
        <v>1626</v>
      </c>
      <c r="S25" s="121">
        <v>1969</v>
      </c>
      <c r="T25" s="121">
        <v>2640</v>
      </c>
      <c r="U25" s="121">
        <v>2359</v>
      </c>
      <c r="V25" s="121">
        <v>2511</v>
      </c>
      <c r="W25" s="121">
        <v>1265</v>
      </c>
      <c r="X25" s="121">
        <v>1800</v>
      </c>
      <c r="Y25" s="121">
        <v>1171</v>
      </c>
      <c r="Z25" s="122">
        <v>1016</v>
      </c>
      <c r="AA25" s="121">
        <f t="shared" si="0"/>
        <v>-13.236549957301447</v>
      </c>
      <c r="AB25" s="121">
        <f t="shared" si="1"/>
        <v>-59.53803265631223</v>
      </c>
      <c r="AC25" s="19"/>
      <c r="AD25" s="121">
        <v>2359</v>
      </c>
      <c r="AE25" s="434">
        <v>1171</v>
      </c>
      <c r="AF25" s="75">
        <f t="shared" si="3"/>
        <v>-50.360322170411195</v>
      </c>
      <c r="AG25" s="18"/>
      <c r="AH25" s="18"/>
      <c r="AI25" s="18"/>
      <c r="AJ25" s="18"/>
    </row>
    <row r="26" spans="3:31" ht="14.25">
      <c r="C26" s="22"/>
      <c r="D26" s="75"/>
      <c r="H26" s="121"/>
      <c r="I26" s="121"/>
      <c r="J26" s="121"/>
      <c r="K26" s="121"/>
      <c r="L26" s="121"/>
      <c r="M26" s="121"/>
      <c r="N26" s="121"/>
      <c r="O26" s="121"/>
      <c r="P26" s="121"/>
      <c r="Q26" s="121"/>
      <c r="R26" s="121"/>
      <c r="S26" s="121"/>
      <c r="T26" s="121"/>
      <c r="U26" s="121"/>
      <c r="V26" s="121"/>
      <c r="W26" s="121"/>
      <c r="X26" s="121"/>
      <c r="Y26" s="121"/>
      <c r="Z26" s="122"/>
      <c r="AA26" s="121"/>
      <c r="AB26" s="121"/>
      <c r="AC26" s="19"/>
      <c r="AD26" s="121"/>
      <c r="AE26" s="122"/>
    </row>
    <row r="27" spans="26:31" ht="14.25">
      <c r="Z27" s="364"/>
      <c r="AE27" s="364"/>
    </row>
    <row r="28" spans="26:31" ht="14.25">
      <c r="Z28" s="364"/>
      <c r="AE28" s="364"/>
    </row>
    <row r="29" spans="26:31" ht="14.25">
      <c r="Z29" s="364"/>
      <c r="AE29" s="364"/>
    </row>
    <row r="30" ht="14.25">
      <c r="AE30" s="364"/>
    </row>
    <row r="31" ht="14.25">
      <c r="AE31" s="364"/>
    </row>
  </sheetData>
  <sheetProtection/>
  <mergeCells count="1">
    <mergeCell ref="A2:C2"/>
  </mergeCells>
  <hyperlinks>
    <hyperlink ref="A2" location="Index!A1" display="Back to Index"/>
  </hyperlinks>
  <printOptions/>
  <pageMargins left="0.25" right="0.26" top="1" bottom="1" header="0.5" footer="0.5"/>
  <pageSetup fitToHeight="1" fitToWidth="1" horizontalDpi="600" verticalDpi="600" orientation="portrait" scale="94" r:id="rId1"/>
  <headerFooter alignWithMargins="0">
    <oddFooter>&amp;L&amp;8&amp;Z&amp;F&amp;A&amp;R&amp;8&amp;D&amp;T</oddFooter>
  </headerFooter>
</worksheet>
</file>

<file path=xl/worksheets/sheet11.xml><?xml version="1.0" encoding="utf-8"?>
<worksheet xmlns="http://schemas.openxmlformats.org/spreadsheetml/2006/main" xmlns:r="http://schemas.openxmlformats.org/officeDocument/2006/relationships">
  <sheetPr>
    <tabColor indexed="47"/>
  </sheetPr>
  <dimension ref="A1:AJ30"/>
  <sheetViews>
    <sheetView zoomScale="80" zoomScaleNormal="80" zoomScalePageLayoutView="0" workbookViewId="0" topLeftCell="A1">
      <pane xSplit="3" ySplit="2" topLeftCell="P3" activePane="bottomRight" state="frozen"/>
      <selection pane="topLeft" activeCell="P25" sqref="P25"/>
      <selection pane="topRight" activeCell="P25" sqref="P25"/>
      <selection pane="bottomLeft" activeCell="P25" sqref="P25"/>
      <selection pane="bottomRight" activeCell="Z19" sqref="Z19"/>
    </sheetView>
  </sheetViews>
  <sheetFormatPr defaultColWidth="9.140625" defaultRowHeight="12.75" outlineLevelCol="1"/>
  <cols>
    <col min="1" max="1" width="3.00390625" style="22" customWidth="1"/>
    <col min="2" max="2" width="5.7109375" style="22" customWidth="1"/>
    <col min="3" max="3" width="39.28125" style="10" customWidth="1"/>
    <col min="4" max="4" width="8.7109375" style="76" hidden="1" customWidth="1" outlineLevel="1"/>
    <col min="5" max="8" width="8.7109375" style="75" hidden="1" customWidth="1" outlineLevel="1"/>
    <col min="9" max="9" width="2.28125" style="75" hidden="1" customWidth="1" outlineLevel="1"/>
    <col min="10" max="17" width="8.7109375" style="75" hidden="1" customWidth="1" outlineLevel="1"/>
    <col min="18" max="19" width="8.7109375" style="75" hidden="1" customWidth="1" outlineLevel="1" collapsed="1"/>
    <col min="20" max="21" width="8.7109375" style="75" hidden="1" customWidth="1" outlineLevel="1"/>
    <col min="22" max="22" width="8.7109375" style="75" customWidth="1" collapsed="1"/>
    <col min="23" max="25" width="8.7109375" style="75" customWidth="1"/>
    <col min="26" max="26" width="8.7109375" style="119" customWidth="1"/>
    <col min="27" max="28" width="8.7109375" style="75" customWidth="1"/>
    <col min="29" max="29" width="2.421875" style="21" customWidth="1"/>
    <col min="30" max="30" width="8.7109375" style="75" hidden="1" customWidth="1"/>
    <col min="31" max="31" width="8.8515625" style="119" hidden="1" customWidth="1"/>
    <col min="32" max="32" width="8.7109375" style="75" hidden="1" customWidth="1"/>
    <col min="33" max="16384" width="9.140625" style="22" customWidth="1"/>
  </cols>
  <sheetData>
    <row r="1" spans="1:32" s="42" customFormat="1" ht="20.25">
      <c r="A1" s="41" t="s">
        <v>204</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43"/>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18" customFormat="1" ht="15">
      <c r="A3" s="7"/>
      <c r="D3" s="17"/>
      <c r="E3" s="17"/>
      <c r="F3" s="17"/>
      <c r="G3" s="17"/>
      <c r="H3" s="17"/>
      <c r="I3" s="17"/>
      <c r="J3" s="17"/>
      <c r="K3" s="17"/>
      <c r="L3" s="17"/>
      <c r="M3" s="17"/>
      <c r="N3" s="17"/>
      <c r="O3" s="17"/>
      <c r="P3" s="17"/>
      <c r="Q3" s="17"/>
      <c r="R3" s="17"/>
      <c r="S3" s="17"/>
      <c r="T3" s="17"/>
      <c r="U3" s="17"/>
      <c r="V3" s="17"/>
      <c r="W3" s="17"/>
      <c r="X3" s="17"/>
      <c r="Y3" s="17"/>
      <c r="Z3" s="125"/>
      <c r="AA3" s="17"/>
      <c r="AB3" s="17"/>
      <c r="AC3" s="15"/>
      <c r="AD3" s="17"/>
      <c r="AE3" s="125"/>
      <c r="AF3" s="17"/>
    </row>
    <row r="4" spans="1:31" ht="15">
      <c r="A4" s="46" t="s">
        <v>222</v>
      </c>
      <c r="H4" s="121"/>
      <c r="Z4" s="364"/>
      <c r="AE4" s="364"/>
    </row>
    <row r="5" spans="1:32" s="62" customFormat="1" ht="15">
      <c r="A5" s="62" t="s">
        <v>203</v>
      </c>
      <c r="D5" s="134">
        <v>1.5</v>
      </c>
      <c r="E5" s="134">
        <v>2.9</v>
      </c>
      <c r="F5" s="134">
        <v>1.9</v>
      </c>
      <c r="G5" s="134">
        <v>1.3</v>
      </c>
      <c r="H5" s="134">
        <v>1.2</v>
      </c>
      <c r="I5" s="134"/>
      <c r="J5" s="134">
        <v>2</v>
      </c>
      <c r="K5" s="134">
        <v>2.8</v>
      </c>
      <c r="L5" s="134">
        <v>2.6</v>
      </c>
      <c r="M5" s="134">
        <v>2.9</v>
      </c>
      <c r="N5" s="134">
        <v>2.7</v>
      </c>
      <c r="O5" s="134">
        <v>2.3</v>
      </c>
      <c r="P5" s="134">
        <v>2.1</v>
      </c>
      <c r="Q5" s="134">
        <v>1.9</v>
      </c>
      <c r="R5" s="134">
        <v>1.8</v>
      </c>
      <c r="S5" s="134">
        <v>1.5</v>
      </c>
      <c r="T5" s="134">
        <v>1.3</v>
      </c>
      <c r="U5" s="134">
        <v>1.3</v>
      </c>
      <c r="V5" s="134">
        <v>1.3</v>
      </c>
      <c r="W5" s="134">
        <v>1.3</v>
      </c>
      <c r="X5" s="134">
        <v>1.3</v>
      </c>
      <c r="Y5" s="134">
        <v>1.2</v>
      </c>
      <c r="Z5" s="448">
        <v>1.2</v>
      </c>
      <c r="AA5" s="338">
        <f>Z5-Y5</f>
        <v>0</v>
      </c>
      <c r="AB5" s="338">
        <f>Z5-V5</f>
        <v>-0.10000000000000009</v>
      </c>
      <c r="AC5" s="339"/>
      <c r="AD5" s="338">
        <v>1.3</v>
      </c>
      <c r="AE5" s="448">
        <v>1.2</v>
      </c>
      <c r="AF5" s="134">
        <f>AE5-AD5</f>
        <v>-0.10000000000000009</v>
      </c>
    </row>
    <row r="6" spans="1:36" s="60" customFormat="1" ht="15">
      <c r="A6" s="63" t="s">
        <v>82</v>
      </c>
      <c r="D6" s="84"/>
      <c r="E6" s="84"/>
      <c r="F6" s="84"/>
      <c r="G6" s="84"/>
      <c r="H6" s="407"/>
      <c r="I6" s="84"/>
      <c r="J6" s="84"/>
      <c r="K6" s="84"/>
      <c r="L6" s="84"/>
      <c r="M6" s="84"/>
      <c r="N6" s="84"/>
      <c r="O6" s="84"/>
      <c r="P6" s="84"/>
      <c r="Q6" s="84"/>
      <c r="R6" s="84"/>
      <c r="S6" s="84"/>
      <c r="T6" s="84"/>
      <c r="U6" s="84"/>
      <c r="V6" s="84"/>
      <c r="W6" s="84"/>
      <c r="X6" s="84"/>
      <c r="Y6" s="84"/>
      <c r="Z6" s="449"/>
      <c r="AA6" s="409"/>
      <c r="AB6" s="409"/>
      <c r="AC6" s="61"/>
      <c r="AD6" s="84"/>
      <c r="AE6" s="449"/>
      <c r="AF6" s="84"/>
      <c r="AH6" s="62"/>
      <c r="AI6" s="62"/>
      <c r="AJ6" s="62"/>
    </row>
    <row r="7" spans="2:36" s="60" customFormat="1" ht="15">
      <c r="B7" s="22" t="s">
        <v>382</v>
      </c>
      <c r="C7" s="61"/>
      <c r="D7" s="84">
        <v>1.2</v>
      </c>
      <c r="E7" s="84">
        <v>1.2</v>
      </c>
      <c r="F7" s="84">
        <v>0.6</v>
      </c>
      <c r="G7" s="84">
        <v>0.6</v>
      </c>
      <c r="H7" s="407">
        <v>0.5</v>
      </c>
      <c r="I7" s="84"/>
      <c r="J7" s="84">
        <v>1.5</v>
      </c>
      <c r="K7" s="84">
        <v>1.7</v>
      </c>
      <c r="L7" s="84">
        <v>1.5</v>
      </c>
      <c r="M7" s="84">
        <v>1.2</v>
      </c>
      <c r="N7" s="84">
        <v>1.1</v>
      </c>
      <c r="O7" s="84">
        <v>0.8</v>
      </c>
      <c r="P7" s="84">
        <v>0.8</v>
      </c>
      <c r="Q7" s="84">
        <v>0.6</v>
      </c>
      <c r="R7" s="84">
        <v>0.6</v>
      </c>
      <c r="S7" s="84">
        <v>0.6</v>
      </c>
      <c r="T7" s="84">
        <v>0.5</v>
      </c>
      <c r="U7" s="84">
        <v>0.6</v>
      </c>
      <c r="V7" s="84">
        <v>0.5</v>
      </c>
      <c r="W7" s="84">
        <v>0.5</v>
      </c>
      <c r="X7" s="84">
        <v>0.5</v>
      </c>
      <c r="Y7" s="84">
        <v>0.5</v>
      </c>
      <c r="Z7" s="449">
        <v>0.5</v>
      </c>
      <c r="AA7" s="269">
        <f>Z7-Y7</f>
        <v>0</v>
      </c>
      <c r="AB7" s="269">
        <f>Z7-V7</f>
        <v>0</v>
      </c>
      <c r="AC7" s="340"/>
      <c r="AD7" s="84">
        <v>0.6</v>
      </c>
      <c r="AE7" s="449">
        <v>0.5</v>
      </c>
      <c r="AF7" s="84">
        <f>AE7-AD7</f>
        <v>-0.09999999999999998</v>
      </c>
      <c r="AH7" s="62"/>
      <c r="AI7" s="62"/>
      <c r="AJ7" s="62"/>
    </row>
    <row r="8" spans="2:36" s="60" customFormat="1" ht="15">
      <c r="B8" s="22" t="s">
        <v>332</v>
      </c>
      <c r="D8" s="84">
        <v>1.7</v>
      </c>
      <c r="E8" s="84">
        <v>3.8</v>
      </c>
      <c r="F8" s="84">
        <v>2.5</v>
      </c>
      <c r="G8" s="84">
        <v>1.7</v>
      </c>
      <c r="H8" s="407">
        <v>1.6</v>
      </c>
      <c r="I8" s="84"/>
      <c r="J8" s="84">
        <v>2.3</v>
      </c>
      <c r="K8" s="84">
        <v>3.4</v>
      </c>
      <c r="L8" s="84">
        <v>3.1</v>
      </c>
      <c r="M8" s="84">
        <v>3.8</v>
      </c>
      <c r="N8" s="84">
        <v>3.6</v>
      </c>
      <c r="O8" s="84">
        <v>3</v>
      </c>
      <c r="P8" s="84">
        <v>2.8</v>
      </c>
      <c r="Q8" s="84">
        <v>2.5</v>
      </c>
      <c r="R8" s="84">
        <v>2.3</v>
      </c>
      <c r="S8" s="84">
        <v>2</v>
      </c>
      <c r="T8" s="84">
        <v>1.7</v>
      </c>
      <c r="U8" s="84">
        <v>1.7</v>
      </c>
      <c r="V8" s="84">
        <v>1.6</v>
      </c>
      <c r="W8" s="84">
        <v>1.7</v>
      </c>
      <c r="X8" s="84">
        <v>1.6</v>
      </c>
      <c r="Y8" s="84">
        <v>1.6</v>
      </c>
      <c r="Z8" s="449">
        <v>1.5</v>
      </c>
      <c r="AA8" s="269">
        <f>Z8-Y8</f>
        <v>-0.10000000000000009</v>
      </c>
      <c r="AB8" s="269">
        <f>Z8-V8</f>
        <v>-0.10000000000000009</v>
      </c>
      <c r="AC8" s="340"/>
      <c r="AD8" s="269">
        <v>1.7</v>
      </c>
      <c r="AE8" s="449">
        <v>1.6</v>
      </c>
      <c r="AF8" s="84">
        <f>AE8-AD8</f>
        <v>-0.09999999999999987</v>
      </c>
      <c r="AH8" s="62"/>
      <c r="AI8" s="62"/>
      <c r="AJ8" s="62"/>
    </row>
    <row r="9" spans="2:36" s="60" customFormat="1" ht="3.75" customHeight="1">
      <c r="B9" s="157"/>
      <c r="D9" s="84"/>
      <c r="E9" s="84"/>
      <c r="F9" s="84"/>
      <c r="G9" s="84"/>
      <c r="H9" s="407"/>
      <c r="I9" s="84"/>
      <c r="J9" s="84"/>
      <c r="K9" s="84"/>
      <c r="L9" s="84"/>
      <c r="M9" s="84"/>
      <c r="N9" s="84"/>
      <c r="O9" s="84"/>
      <c r="P9" s="84"/>
      <c r="Q9" s="84"/>
      <c r="R9" s="84"/>
      <c r="S9" s="84"/>
      <c r="T9" s="84"/>
      <c r="U9" s="84"/>
      <c r="V9" s="84"/>
      <c r="W9" s="84"/>
      <c r="X9" s="84"/>
      <c r="Y9" s="84"/>
      <c r="Z9" s="479"/>
      <c r="AA9" s="409"/>
      <c r="AB9" s="409"/>
      <c r="AC9" s="61"/>
      <c r="AD9" s="84"/>
      <c r="AE9" s="419"/>
      <c r="AF9" s="84"/>
      <c r="AH9" s="62"/>
      <c r="AI9" s="62"/>
      <c r="AJ9" s="62"/>
    </row>
    <row r="10" spans="1:36" s="60" customFormat="1" ht="15">
      <c r="A10" s="64" t="s">
        <v>81</v>
      </c>
      <c r="D10" s="84"/>
      <c r="E10" s="84"/>
      <c r="F10" s="84"/>
      <c r="G10" s="84"/>
      <c r="H10" s="407"/>
      <c r="I10" s="84"/>
      <c r="J10" s="84"/>
      <c r="K10" s="84"/>
      <c r="L10" s="84"/>
      <c r="M10" s="84"/>
      <c r="N10" s="84"/>
      <c r="O10" s="84"/>
      <c r="P10" s="84"/>
      <c r="Q10" s="84"/>
      <c r="R10" s="84"/>
      <c r="S10" s="84"/>
      <c r="T10" s="84"/>
      <c r="U10" s="84"/>
      <c r="V10" s="84"/>
      <c r="W10" s="84"/>
      <c r="X10" s="84"/>
      <c r="Y10" s="84"/>
      <c r="Z10" s="479"/>
      <c r="AA10" s="409"/>
      <c r="AB10" s="409"/>
      <c r="AC10" s="61"/>
      <c r="AD10" s="84"/>
      <c r="AE10" s="419"/>
      <c r="AF10" s="84"/>
      <c r="AH10" s="62"/>
      <c r="AI10" s="62"/>
      <c r="AJ10" s="62"/>
    </row>
    <row r="11" spans="2:36" s="60" customFormat="1" ht="15">
      <c r="B11" s="60" t="s">
        <v>48</v>
      </c>
      <c r="D11" s="84">
        <v>1.1</v>
      </c>
      <c r="E11" s="84">
        <v>1.2</v>
      </c>
      <c r="F11" s="84">
        <v>0.8</v>
      </c>
      <c r="G11" s="84">
        <v>0.6</v>
      </c>
      <c r="H11" s="407">
        <v>0.4</v>
      </c>
      <c r="I11" s="84"/>
      <c r="J11" s="84">
        <v>1.2</v>
      </c>
      <c r="K11" s="84">
        <v>1.3</v>
      </c>
      <c r="L11" s="84">
        <v>1.3</v>
      </c>
      <c r="M11" s="84">
        <v>1.2</v>
      </c>
      <c r="N11" s="84">
        <v>1.2</v>
      </c>
      <c r="O11" s="84">
        <v>0.9</v>
      </c>
      <c r="P11" s="84">
        <v>0.9</v>
      </c>
      <c r="Q11" s="84">
        <v>0.8</v>
      </c>
      <c r="R11" s="84">
        <v>0.7</v>
      </c>
      <c r="S11" s="84">
        <v>0.6</v>
      </c>
      <c r="T11" s="84">
        <v>0.5</v>
      </c>
      <c r="U11" s="84">
        <v>0.6</v>
      </c>
      <c r="V11" s="84">
        <v>0.6</v>
      </c>
      <c r="W11" s="84">
        <v>0.6</v>
      </c>
      <c r="X11" s="84">
        <v>0.6</v>
      </c>
      <c r="Y11" s="84">
        <v>0.4</v>
      </c>
      <c r="Z11" s="449">
        <v>0.4</v>
      </c>
      <c r="AA11" s="269">
        <f>Z11-Y11</f>
        <v>0</v>
      </c>
      <c r="AB11" s="269">
        <f>Z11-V11</f>
        <v>-0.19999999999999996</v>
      </c>
      <c r="AC11" s="61"/>
      <c r="AD11" s="84">
        <v>0.6</v>
      </c>
      <c r="AE11" s="449">
        <v>0.4</v>
      </c>
      <c r="AF11" s="84">
        <f>AE11-AD11</f>
        <v>-0.19999999999999996</v>
      </c>
      <c r="AH11" s="62"/>
      <c r="AI11" s="62"/>
      <c r="AJ11" s="62"/>
    </row>
    <row r="12" spans="2:36" s="60" customFormat="1" ht="15">
      <c r="B12" s="79" t="s">
        <v>49</v>
      </c>
      <c r="D12" s="84">
        <v>1.7</v>
      </c>
      <c r="E12" s="84">
        <v>1.7</v>
      </c>
      <c r="F12" s="84">
        <v>1</v>
      </c>
      <c r="G12" s="84">
        <v>0.8</v>
      </c>
      <c r="H12" s="407">
        <v>0.6</v>
      </c>
      <c r="I12" s="84"/>
      <c r="J12" s="84">
        <v>2.6</v>
      </c>
      <c r="K12" s="84">
        <v>2.4</v>
      </c>
      <c r="L12" s="84">
        <v>2</v>
      </c>
      <c r="M12" s="84">
        <v>1.7</v>
      </c>
      <c r="N12" s="84">
        <v>1.6</v>
      </c>
      <c r="O12" s="84">
        <v>1.2</v>
      </c>
      <c r="P12" s="84">
        <v>1</v>
      </c>
      <c r="Q12" s="84">
        <v>1</v>
      </c>
      <c r="R12" s="84">
        <v>0.9</v>
      </c>
      <c r="S12" s="84">
        <v>0.8</v>
      </c>
      <c r="T12" s="84">
        <v>0.8</v>
      </c>
      <c r="U12" s="84">
        <v>0.8</v>
      </c>
      <c r="V12" s="84">
        <v>0.8</v>
      </c>
      <c r="W12" s="84">
        <v>0.8</v>
      </c>
      <c r="X12" s="84">
        <v>0.7</v>
      </c>
      <c r="Y12" s="84">
        <v>0.6</v>
      </c>
      <c r="Z12" s="449">
        <v>0.7</v>
      </c>
      <c r="AA12" s="269">
        <f>Z12-Y12</f>
        <v>0.09999999999999998</v>
      </c>
      <c r="AB12" s="269">
        <f>Z12-V12</f>
        <v>-0.10000000000000009</v>
      </c>
      <c r="AC12" s="61"/>
      <c r="AD12" s="84">
        <v>0.8</v>
      </c>
      <c r="AE12" s="449">
        <v>0.6</v>
      </c>
      <c r="AF12" s="84">
        <f>AE12-AD12</f>
        <v>-0.20000000000000007</v>
      </c>
      <c r="AH12" s="62"/>
      <c r="AI12" s="62"/>
      <c r="AJ12" s="62"/>
    </row>
    <row r="13" spans="2:36" s="60" customFormat="1" ht="15">
      <c r="B13" s="79" t="s">
        <v>76</v>
      </c>
      <c r="D13" s="84">
        <v>4.3</v>
      </c>
      <c r="E13" s="84">
        <v>3.1</v>
      </c>
      <c r="F13" s="84">
        <v>1.9</v>
      </c>
      <c r="G13" s="84">
        <v>0.8</v>
      </c>
      <c r="H13" s="407">
        <v>0.8</v>
      </c>
      <c r="I13" s="84"/>
      <c r="J13" s="84">
        <v>4.7</v>
      </c>
      <c r="K13" s="84">
        <v>4.3</v>
      </c>
      <c r="L13" s="84">
        <v>3.6</v>
      </c>
      <c r="M13" s="84">
        <v>3.1</v>
      </c>
      <c r="N13" s="84">
        <v>3.1</v>
      </c>
      <c r="O13" s="84">
        <v>2.8</v>
      </c>
      <c r="P13" s="84">
        <v>2.4</v>
      </c>
      <c r="Q13" s="84">
        <v>1.9</v>
      </c>
      <c r="R13" s="84">
        <v>1.7</v>
      </c>
      <c r="S13" s="84">
        <v>1.2</v>
      </c>
      <c r="T13" s="84">
        <v>1</v>
      </c>
      <c r="U13" s="84">
        <v>0.8</v>
      </c>
      <c r="V13" s="84">
        <v>0.8</v>
      </c>
      <c r="W13" s="84">
        <v>0.8</v>
      </c>
      <c r="X13" s="84">
        <v>0.8</v>
      </c>
      <c r="Y13" s="84">
        <v>0.8</v>
      </c>
      <c r="Z13" s="449">
        <v>0.6</v>
      </c>
      <c r="AA13" s="269">
        <f>Z13-Y13</f>
        <v>-0.20000000000000007</v>
      </c>
      <c r="AB13" s="269">
        <f>Z13-V13</f>
        <v>-0.20000000000000007</v>
      </c>
      <c r="AC13" s="61"/>
      <c r="AD13" s="84">
        <v>0.8</v>
      </c>
      <c r="AE13" s="449">
        <v>0.8</v>
      </c>
      <c r="AF13" s="84">
        <f>AE13-AD13</f>
        <v>0</v>
      </c>
      <c r="AH13" s="62"/>
      <c r="AI13" s="62"/>
      <c r="AJ13" s="62"/>
    </row>
    <row r="14" spans="2:36" s="60" customFormat="1" ht="15">
      <c r="B14" s="79" t="s">
        <v>93</v>
      </c>
      <c r="D14" s="84">
        <v>1.2</v>
      </c>
      <c r="E14" s="84">
        <v>1.3</v>
      </c>
      <c r="F14" s="84">
        <v>1.2</v>
      </c>
      <c r="G14" s="84">
        <v>0.9</v>
      </c>
      <c r="H14" s="407">
        <v>0.9</v>
      </c>
      <c r="I14" s="84"/>
      <c r="J14" s="84">
        <v>1.7</v>
      </c>
      <c r="K14" s="84">
        <v>2.3</v>
      </c>
      <c r="L14" s="84">
        <v>1.5</v>
      </c>
      <c r="M14" s="84">
        <v>1.3</v>
      </c>
      <c r="N14" s="84">
        <v>1.2</v>
      </c>
      <c r="O14" s="84">
        <v>1</v>
      </c>
      <c r="P14" s="84">
        <v>1.1</v>
      </c>
      <c r="Q14" s="84">
        <v>1.2</v>
      </c>
      <c r="R14" s="84">
        <v>1.1</v>
      </c>
      <c r="S14" s="84">
        <v>1.1</v>
      </c>
      <c r="T14" s="84">
        <v>1</v>
      </c>
      <c r="U14" s="84">
        <v>0.9</v>
      </c>
      <c r="V14" s="84">
        <v>0.9</v>
      </c>
      <c r="W14" s="84">
        <v>0.8</v>
      </c>
      <c r="X14" s="84">
        <v>0.9</v>
      </c>
      <c r="Y14" s="84">
        <v>0.9</v>
      </c>
      <c r="Z14" s="449">
        <v>1.3</v>
      </c>
      <c r="AA14" s="269">
        <f>Z14-Y14</f>
        <v>0.4</v>
      </c>
      <c r="AB14" s="269">
        <f>Z14-V14</f>
        <v>0.4</v>
      </c>
      <c r="AC14" s="61"/>
      <c r="AD14" s="84">
        <v>0.9</v>
      </c>
      <c r="AE14" s="449">
        <v>0.9</v>
      </c>
      <c r="AF14" s="84">
        <f>AE14-AD14</f>
        <v>0</v>
      </c>
      <c r="AH14" s="62"/>
      <c r="AI14" s="62"/>
      <c r="AJ14" s="62"/>
    </row>
    <row r="15" spans="2:36" s="60" customFormat="1" ht="15">
      <c r="B15" s="79" t="s">
        <v>77</v>
      </c>
      <c r="D15" s="84">
        <v>0.7</v>
      </c>
      <c r="E15" s="84">
        <v>13.1</v>
      </c>
      <c r="F15" s="84">
        <v>9.5</v>
      </c>
      <c r="G15" s="84">
        <v>7.3</v>
      </c>
      <c r="H15" s="407">
        <v>7.5</v>
      </c>
      <c r="I15" s="84"/>
      <c r="J15" s="84">
        <v>2.7</v>
      </c>
      <c r="K15" s="84">
        <v>8.8</v>
      </c>
      <c r="L15" s="84">
        <v>9.4</v>
      </c>
      <c r="M15" s="84">
        <v>13.1</v>
      </c>
      <c r="N15" s="84">
        <v>12.9</v>
      </c>
      <c r="O15" s="84">
        <v>11.5</v>
      </c>
      <c r="P15" s="84">
        <v>10.9</v>
      </c>
      <c r="Q15" s="84">
        <v>9.5</v>
      </c>
      <c r="R15" s="84"/>
      <c r="S15" s="84">
        <v>8.6</v>
      </c>
      <c r="T15" s="84">
        <v>7.4</v>
      </c>
      <c r="U15" s="84">
        <v>7.3</v>
      </c>
      <c r="V15" s="84">
        <v>6.9</v>
      </c>
      <c r="W15" s="84">
        <v>7.3</v>
      </c>
      <c r="X15" s="84">
        <v>7.3</v>
      </c>
      <c r="Y15" s="84">
        <v>7.5</v>
      </c>
      <c r="Z15" s="449">
        <v>7.2</v>
      </c>
      <c r="AA15" s="269">
        <f>Z15-Y15</f>
        <v>-0.2999999999999998</v>
      </c>
      <c r="AB15" s="269">
        <f>Z15-V15</f>
        <v>0.2999999999999998</v>
      </c>
      <c r="AC15" s="61"/>
      <c r="AD15" s="84">
        <v>7.3</v>
      </c>
      <c r="AE15" s="449">
        <v>7.5</v>
      </c>
      <c r="AF15" s="84">
        <f>AE15-AD15</f>
        <v>0.20000000000000018</v>
      </c>
      <c r="AH15" s="62"/>
      <c r="AI15" s="62"/>
      <c r="AJ15" s="62"/>
    </row>
    <row r="16" spans="3:36" s="60" customFormat="1" ht="15">
      <c r="C16" s="63"/>
      <c r="D16" s="84"/>
      <c r="E16" s="84"/>
      <c r="F16" s="84"/>
      <c r="G16" s="84"/>
      <c r="H16" s="407"/>
      <c r="I16" s="84"/>
      <c r="J16" s="84"/>
      <c r="K16" s="84"/>
      <c r="L16" s="84"/>
      <c r="M16" s="84"/>
      <c r="N16" s="84"/>
      <c r="O16" s="84"/>
      <c r="P16" s="84"/>
      <c r="Q16" s="84"/>
      <c r="R16" s="84"/>
      <c r="S16" s="84"/>
      <c r="T16" s="84"/>
      <c r="U16" s="84"/>
      <c r="V16" s="84"/>
      <c r="W16" s="84"/>
      <c r="X16" s="84"/>
      <c r="Y16" s="84"/>
      <c r="Z16" s="449"/>
      <c r="AA16" s="409"/>
      <c r="AB16" s="409"/>
      <c r="AC16" s="61"/>
      <c r="AD16" s="84"/>
      <c r="AE16" s="449"/>
      <c r="AF16" s="84"/>
      <c r="AH16" s="62"/>
      <c r="AI16" s="62"/>
      <c r="AJ16" s="62"/>
    </row>
    <row r="17" spans="1:36" ht="15">
      <c r="A17" s="46" t="s">
        <v>107</v>
      </c>
      <c r="C17" s="6"/>
      <c r="H17" s="121"/>
      <c r="Z17" s="122"/>
      <c r="AA17" s="410"/>
      <c r="AB17" s="410"/>
      <c r="AE17" s="122"/>
      <c r="AH17" s="62"/>
      <c r="AI17" s="62"/>
      <c r="AJ17" s="62"/>
    </row>
    <row r="18" spans="1:36" s="18" customFormat="1" ht="15">
      <c r="A18" s="18" t="s">
        <v>205</v>
      </c>
      <c r="D18" s="8">
        <v>114</v>
      </c>
      <c r="E18" s="17">
        <v>83</v>
      </c>
      <c r="F18" s="17">
        <v>100</v>
      </c>
      <c r="G18" s="17">
        <v>126</v>
      </c>
      <c r="H18" s="17">
        <v>142</v>
      </c>
      <c r="I18" s="17"/>
      <c r="J18" s="8">
        <v>97</v>
      </c>
      <c r="K18" s="17">
        <v>81</v>
      </c>
      <c r="L18" s="17">
        <v>90</v>
      </c>
      <c r="M18" s="17">
        <v>83</v>
      </c>
      <c r="N18" s="17">
        <v>92</v>
      </c>
      <c r="O18" s="17">
        <v>101</v>
      </c>
      <c r="P18" s="17">
        <v>97</v>
      </c>
      <c r="Q18" s="17">
        <v>100</v>
      </c>
      <c r="R18" s="17">
        <v>103</v>
      </c>
      <c r="S18" s="17">
        <v>113</v>
      </c>
      <c r="T18" s="17">
        <v>124</v>
      </c>
      <c r="U18" s="17">
        <v>126</v>
      </c>
      <c r="V18" s="17">
        <v>128</v>
      </c>
      <c r="W18" s="17">
        <v>129</v>
      </c>
      <c r="X18" s="17">
        <v>134</v>
      </c>
      <c r="Y18" s="17">
        <v>142</v>
      </c>
      <c r="Z18" s="125">
        <v>142</v>
      </c>
      <c r="AA18" s="320">
        <f>Z18-Y18</f>
        <v>0</v>
      </c>
      <c r="AB18" s="320">
        <f>Z18-V18</f>
        <v>14</v>
      </c>
      <c r="AC18" s="15"/>
      <c r="AD18" s="17">
        <v>126</v>
      </c>
      <c r="AE18" s="125">
        <v>142</v>
      </c>
      <c r="AF18" s="17">
        <f>AE18-AD18</f>
        <v>16</v>
      </c>
      <c r="AH18" s="62"/>
      <c r="AI18" s="62"/>
      <c r="AJ18" s="62"/>
    </row>
    <row r="19" spans="1:36" s="18" customFormat="1" ht="15">
      <c r="A19" s="18" t="s">
        <v>235</v>
      </c>
      <c r="C19" s="7"/>
      <c r="D19" s="8">
        <v>176</v>
      </c>
      <c r="E19" s="17">
        <v>108</v>
      </c>
      <c r="F19" s="17">
        <v>127</v>
      </c>
      <c r="G19" s="17">
        <v>165</v>
      </c>
      <c r="H19" s="17">
        <v>183</v>
      </c>
      <c r="I19" s="17"/>
      <c r="J19" s="8">
        <v>156</v>
      </c>
      <c r="K19" s="17">
        <v>119</v>
      </c>
      <c r="L19" s="17">
        <v>128</v>
      </c>
      <c r="M19" s="17">
        <v>108</v>
      </c>
      <c r="N19" s="17">
        <v>119</v>
      </c>
      <c r="O19" s="17">
        <v>126</v>
      </c>
      <c r="P19" s="17">
        <v>124</v>
      </c>
      <c r="Q19" s="17">
        <v>127</v>
      </c>
      <c r="R19" s="17">
        <v>134</v>
      </c>
      <c r="S19" s="17">
        <v>148</v>
      </c>
      <c r="T19" s="17">
        <v>158</v>
      </c>
      <c r="U19" s="17">
        <v>165</v>
      </c>
      <c r="V19" s="17">
        <v>172</v>
      </c>
      <c r="W19" s="17">
        <v>171</v>
      </c>
      <c r="X19" s="17">
        <v>176</v>
      </c>
      <c r="Y19" s="17">
        <v>183</v>
      </c>
      <c r="Z19" s="125">
        <v>187</v>
      </c>
      <c r="AA19" s="320">
        <f>Z19-Y19</f>
        <v>4</v>
      </c>
      <c r="AB19" s="320">
        <f>Z19-V19</f>
        <v>15</v>
      </c>
      <c r="AC19" s="15"/>
      <c r="AD19" s="17">
        <v>165</v>
      </c>
      <c r="AE19" s="125">
        <v>183</v>
      </c>
      <c r="AF19" s="17">
        <f>AE19-AD19</f>
        <v>18</v>
      </c>
      <c r="AH19" s="62"/>
      <c r="AI19" s="62"/>
      <c r="AJ19" s="62"/>
    </row>
    <row r="20" spans="1:36" s="18" customFormat="1" ht="15">
      <c r="A20" s="18" t="s">
        <v>206</v>
      </c>
      <c r="C20" s="7"/>
      <c r="D20" s="8">
        <v>99</v>
      </c>
      <c r="E20" s="17">
        <v>76</v>
      </c>
      <c r="F20" s="17">
        <v>93</v>
      </c>
      <c r="G20" s="17">
        <v>119</v>
      </c>
      <c r="H20" s="17">
        <v>129</v>
      </c>
      <c r="I20" s="17"/>
      <c r="J20" s="8">
        <v>84</v>
      </c>
      <c r="K20" s="17">
        <v>68</v>
      </c>
      <c r="L20" s="17">
        <v>77</v>
      </c>
      <c r="M20" s="17">
        <v>76</v>
      </c>
      <c r="N20" s="17">
        <v>84</v>
      </c>
      <c r="O20" s="17">
        <v>92</v>
      </c>
      <c r="P20" s="17">
        <v>89</v>
      </c>
      <c r="Q20" s="17">
        <v>93</v>
      </c>
      <c r="R20" s="17">
        <v>96</v>
      </c>
      <c r="S20" s="17">
        <v>107</v>
      </c>
      <c r="T20" s="17">
        <v>117</v>
      </c>
      <c r="U20" s="17">
        <v>119</v>
      </c>
      <c r="V20" s="17">
        <v>121</v>
      </c>
      <c r="W20" s="17">
        <v>121</v>
      </c>
      <c r="X20" s="17">
        <v>125</v>
      </c>
      <c r="Y20" s="17">
        <v>129</v>
      </c>
      <c r="Z20" s="125">
        <v>129</v>
      </c>
      <c r="AA20" s="320">
        <f>Z20-Y20</f>
        <v>0</v>
      </c>
      <c r="AB20" s="320">
        <f>Z20-V20</f>
        <v>8</v>
      </c>
      <c r="AC20" s="15"/>
      <c r="AD20" s="17">
        <v>119</v>
      </c>
      <c r="AE20" s="125">
        <v>129</v>
      </c>
      <c r="AF20" s="17">
        <f>AE20-AD20</f>
        <v>10</v>
      </c>
      <c r="AH20" s="62"/>
      <c r="AI20" s="62"/>
      <c r="AJ20" s="62"/>
    </row>
    <row r="21" spans="1:36" s="18" customFormat="1" ht="15">
      <c r="A21" s="18" t="s">
        <v>207</v>
      </c>
      <c r="C21" s="7"/>
      <c r="D21" s="8">
        <v>159</v>
      </c>
      <c r="E21" s="17">
        <v>100</v>
      </c>
      <c r="F21" s="17">
        <v>121</v>
      </c>
      <c r="G21" s="17">
        <v>152</v>
      </c>
      <c r="H21" s="17">
        <v>165</v>
      </c>
      <c r="I21" s="17"/>
      <c r="J21" s="8">
        <v>142</v>
      </c>
      <c r="K21" s="17">
        <v>103</v>
      </c>
      <c r="L21" s="17">
        <v>113</v>
      </c>
      <c r="M21" s="17">
        <v>100</v>
      </c>
      <c r="N21" s="17">
        <v>111</v>
      </c>
      <c r="O21" s="17">
        <v>117</v>
      </c>
      <c r="P21" s="17">
        <v>117</v>
      </c>
      <c r="Q21" s="17">
        <v>121</v>
      </c>
      <c r="R21" s="17">
        <v>127</v>
      </c>
      <c r="S21" s="17">
        <v>141</v>
      </c>
      <c r="T21" s="17">
        <v>145</v>
      </c>
      <c r="U21" s="17">
        <v>152</v>
      </c>
      <c r="V21" s="17">
        <v>158</v>
      </c>
      <c r="W21" s="17">
        <v>154</v>
      </c>
      <c r="X21" s="17">
        <v>159</v>
      </c>
      <c r="Y21" s="17">
        <v>165</v>
      </c>
      <c r="Z21" s="125">
        <v>168</v>
      </c>
      <c r="AA21" s="320">
        <f>Z21-Y21</f>
        <v>3</v>
      </c>
      <c r="AB21" s="320">
        <f>Z21-V21</f>
        <v>10</v>
      </c>
      <c r="AC21" s="15"/>
      <c r="AD21" s="17">
        <v>152</v>
      </c>
      <c r="AE21" s="125">
        <v>165</v>
      </c>
      <c r="AF21" s="17">
        <f>AE21-AD21</f>
        <v>13</v>
      </c>
      <c r="AH21" s="62"/>
      <c r="AI21" s="62"/>
      <c r="AJ21" s="62"/>
    </row>
    <row r="22" spans="3:32" s="18" customFormat="1" ht="15">
      <c r="C22" s="81"/>
      <c r="D22" s="8"/>
      <c r="E22" s="17"/>
      <c r="F22" s="17"/>
      <c r="G22" s="17"/>
      <c r="H22" s="17"/>
      <c r="I22" s="17"/>
      <c r="J22" s="17"/>
      <c r="K22" s="17"/>
      <c r="L22" s="17"/>
      <c r="M22" s="17"/>
      <c r="N22" s="17"/>
      <c r="O22" s="17"/>
      <c r="P22" s="17"/>
      <c r="Q22" s="17"/>
      <c r="R22" s="17"/>
      <c r="S22" s="17"/>
      <c r="T22" s="17"/>
      <c r="U22" s="17"/>
      <c r="V22" s="17"/>
      <c r="W22" s="17"/>
      <c r="X22" s="17"/>
      <c r="Y22" s="17"/>
      <c r="Z22" s="365"/>
      <c r="AA22" s="17"/>
      <c r="AB22" s="17"/>
      <c r="AC22" s="15"/>
      <c r="AD22" s="170"/>
      <c r="AE22" s="389"/>
      <c r="AF22" s="17"/>
    </row>
    <row r="23" spans="26:31" ht="14.25">
      <c r="Z23" s="364"/>
      <c r="AE23" s="364"/>
    </row>
    <row r="24" spans="26:31" ht="14.25">
      <c r="Z24" s="364"/>
      <c r="AE24" s="364"/>
    </row>
    <row r="25" spans="26:31" ht="14.25">
      <c r="Z25" s="364"/>
      <c r="AE25" s="364"/>
    </row>
    <row r="26" spans="26:31" ht="14.25">
      <c r="Z26" s="364"/>
      <c r="AE26" s="364"/>
    </row>
    <row r="27" ht="14.25">
      <c r="Z27" s="364"/>
    </row>
    <row r="28" ht="14.25">
      <c r="Z28" s="364"/>
    </row>
    <row r="29" ht="14.25">
      <c r="Z29" s="364"/>
    </row>
    <row r="30" ht="14.25">
      <c r="Z30" s="364"/>
    </row>
  </sheetData>
  <sheetProtection/>
  <mergeCells count="1">
    <mergeCell ref="A2:C2"/>
  </mergeCells>
  <hyperlinks>
    <hyperlink ref="A2" location="Index!A1" display="Back to Index"/>
  </hyperlinks>
  <printOptions gridLines="1"/>
  <pageMargins left="0.75" right="0.5" top="1" bottom="1" header="0.5" footer="0.5"/>
  <pageSetup horizontalDpi="600" verticalDpi="600" orientation="landscape" paperSize="9" scale="90" r:id="rId1"/>
  <headerFooter alignWithMargins="0">
    <oddFooter>&amp;L&amp;D\&amp;T&amp;R&amp;F&amp;A</oddFooter>
  </headerFooter>
</worksheet>
</file>

<file path=xl/worksheets/sheet12.xml><?xml version="1.0" encoding="utf-8"?>
<worksheet xmlns="http://schemas.openxmlformats.org/spreadsheetml/2006/main" xmlns:r="http://schemas.openxmlformats.org/officeDocument/2006/relationships">
  <sheetPr>
    <tabColor indexed="47"/>
  </sheetPr>
  <dimension ref="A1:AI79"/>
  <sheetViews>
    <sheetView zoomScale="80" zoomScaleNormal="80" zoomScalePageLayoutView="0" workbookViewId="0" topLeftCell="A1">
      <pane xSplit="3" ySplit="2" topLeftCell="V54" activePane="bottomRight" state="frozen"/>
      <selection pane="topLeft" activeCell="A1" sqref="A1"/>
      <selection pane="topRight" activeCell="D1" sqref="D1"/>
      <selection pane="bottomLeft" activeCell="A3" sqref="A3"/>
      <selection pane="bottomRight" activeCell="B70" sqref="B70:B71"/>
    </sheetView>
  </sheetViews>
  <sheetFormatPr defaultColWidth="9.140625" defaultRowHeight="12.75" outlineLevelCol="1"/>
  <cols>
    <col min="1" max="1" width="3.00390625" style="22" customWidth="1"/>
    <col min="2" max="2" width="3.421875" style="22" customWidth="1"/>
    <col min="3" max="3" width="38.7109375" style="10" customWidth="1"/>
    <col min="4" max="4" width="9.00390625" style="76" hidden="1" customWidth="1" outlineLevel="1"/>
    <col min="5" max="8" width="9.00390625" style="75" hidden="1" customWidth="1" outlineLevel="1"/>
    <col min="9" max="9" width="2.421875" style="75" hidden="1" customWidth="1" outlineLevel="1"/>
    <col min="10" max="17" width="9.140625" style="75" hidden="1" customWidth="1" outlineLevel="1"/>
    <col min="18" max="19" width="9.140625" style="75" hidden="1" customWidth="1" outlineLevel="1" collapsed="1"/>
    <col min="20" max="21" width="0" style="75" hidden="1" customWidth="1" outlineLevel="1"/>
    <col min="22" max="22" width="9.140625" style="75" customWidth="1" collapsed="1"/>
    <col min="23" max="25" width="9.140625" style="75" customWidth="1"/>
    <col min="26" max="26" width="9.140625" style="119" customWidth="1"/>
    <col min="27" max="28" width="9.140625" style="75" customWidth="1"/>
    <col min="29" max="29" width="2.421875" style="21" customWidth="1"/>
    <col min="30" max="30" width="0" style="75" hidden="1" customWidth="1"/>
    <col min="31" max="31" width="0" style="119" hidden="1" customWidth="1"/>
    <col min="32" max="32" width="9.7109375" style="75" hidden="1" customWidth="1"/>
    <col min="33" max="33" width="11.7109375" style="22" bestFit="1" customWidth="1"/>
    <col min="34" max="16384" width="9.140625" style="22" customWidth="1"/>
  </cols>
  <sheetData>
    <row r="1" spans="1:32" s="42" customFormat="1" ht="20.25">
      <c r="A1" s="41" t="s">
        <v>101</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43"/>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290" t="s">
        <v>366</v>
      </c>
      <c r="AE2" s="290" t="s">
        <v>392</v>
      </c>
      <c r="AF2" s="290" t="s">
        <v>393</v>
      </c>
    </row>
    <row r="3" spans="1:32" s="18" customFormat="1" ht="9.75" customHeight="1">
      <c r="A3" s="7"/>
      <c r="D3" s="17"/>
      <c r="E3" s="17"/>
      <c r="F3" s="17"/>
      <c r="G3" s="17"/>
      <c r="H3" s="17"/>
      <c r="I3" s="17"/>
      <c r="J3" s="17"/>
      <c r="K3" s="17"/>
      <c r="L3" s="17"/>
      <c r="M3" s="17"/>
      <c r="N3" s="17"/>
      <c r="O3" s="17"/>
      <c r="P3" s="17"/>
      <c r="Q3" s="17"/>
      <c r="R3" s="17"/>
      <c r="S3" s="17"/>
      <c r="T3" s="17"/>
      <c r="U3" s="17"/>
      <c r="V3" s="17"/>
      <c r="W3" s="17"/>
      <c r="X3" s="17"/>
      <c r="Y3" s="17"/>
      <c r="Z3" s="125"/>
      <c r="AA3" s="17"/>
      <c r="AB3" s="17"/>
      <c r="AC3" s="15"/>
      <c r="AD3" s="17"/>
      <c r="AE3" s="125"/>
      <c r="AF3" s="17"/>
    </row>
    <row r="4" spans="1:32" s="18" customFormat="1" ht="15" customHeight="1">
      <c r="A4" s="46" t="s">
        <v>200</v>
      </c>
      <c r="D4" s="17"/>
      <c r="E4" s="17"/>
      <c r="F4" s="17"/>
      <c r="G4" s="17"/>
      <c r="H4" s="17"/>
      <c r="I4" s="17"/>
      <c r="J4" s="17"/>
      <c r="K4" s="17"/>
      <c r="L4" s="17"/>
      <c r="M4" s="17"/>
      <c r="N4" s="17"/>
      <c r="O4" s="17"/>
      <c r="P4" s="17"/>
      <c r="Q4" s="17"/>
      <c r="R4" s="17"/>
      <c r="S4" s="17"/>
      <c r="T4" s="17"/>
      <c r="U4" s="17"/>
      <c r="V4" s="17"/>
      <c r="W4" s="17"/>
      <c r="X4" s="17"/>
      <c r="Y4" s="17"/>
      <c r="Z4" s="365"/>
      <c r="AA4" s="17"/>
      <c r="AB4" s="17"/>
      <c r="AC4" s="15"/>
      <c r="AD4" s="17"/>
      <c r="AE4" s="141"/>
      <c r="AF4" s="17"/>
    </row>
    <row r="5" spans="1:32" s="18" customFormat="1" ht="15">
      <c r="A5" s="7" t="s">
        <v>157</v>
      </c>
      <c r="D5" s="104">
        <v>2392</v>
      </c>
      <c r="E5" s="17">
        <v>4219</v>
      </c>
      <c r="F5" s="17">
        <v>3213</v>
      </c>
      <c r="G5" s="17">
        <v>2904</v>
      </c>
      <c r="H5" s="17">
        <v>2726</v>
      </c>
      <c r="I5" s="17"/>
      <c r="J5" s="17">
        <v>3233</v>
      </c>
      <c r="K5" s="17">
        <v>4051</v>
      </c>
      <c r="L5" s="17">
        <v>3823</v>
      </c>
      <c r="M5" s="17">
        <v>4219</v>
      </c>
      <c r="N5" s="17">
        <v>4068</v>
      </c>
      <c r="O5" s="17">
        <v>3724</v>
      </c>
      <c r="P5" s="17">
        <v>3505</v>
      </c>
      <c r="Q5" s="17">
        <v>3213</v>
      </c>
      <c r="R5" s="17">
        <v>3098</v>
      </c>
      <c r="S5" s="17">
        <v>2883</v>
      </c>
      <c r="T5" s="17">
        <v>2780</v>
      </c>
      <c r="U5" s="17">
        <v>2904</v>
      </c>
      <c r="V5" s="17">
        <v>2908</v>
      </c>
      <c r="W5" s="17">
        <v>2956</v>
      </c>
      <c r="X5" s="17">
        <v>2835</v>
      </c>
      <c r="Y5" s="17">
        <v>2726</v>
      </c>
      <c r="Z5" s="125">
        <f>+Z6+Z7</f>
        <v>2767</v>
      </c>
      <c r="AA5" s="17">
        <f>IF(AND(Z5=0,Y5=0),0,IF(OR(AND(Z5&gt;0,Y5&lt;=0),AND(Z5&lt;0,Y5&gt;=0)),"nm",IF(AND(Z5&lt;0,Y5&lt;0),IF(-(Z5/Y5-1)*100&lt;-100,"(&gt;100)",-(Z5/Y5-1)*100),IF((Z5/Y5-1)*100&gt;100,"&gt;100",(Z5/Y5-1)*100))))</f>
        <v>1.5040352164343407</v>
      </c>
      <c r="AB5" s="17">
        <f>IF(AND(Z5=0,V5=0),0,IF(OR(AND(Z5&gt;0,V5&lt;=0),AND(Z5&lt;0,V5&gt;=0)),"nm",IF(AND(Z5&lt;0,V5&lt;0),IF(-(Z5/V5-1)*100&lt;-100,"(&gt;100)",-(Z5/V5-1)*100),IF((Z5/V5-1)*100&gt;100,"&gt;100",(Z5/V5-1)*100))))</f>
        <v>-4.848693259972492</v>
      </c>
      <c r="AC5" s="15"/>
      <c r="AD5" s="17">
        <v>2904</v>
      </c>
      <c r="AE5" s="125">
        <f>+AE6+AE7</f>
        <v>2726</v>
      </c>
      <c r="AF5" s="17">
        <f>IF(AND(AE5=0,AD5=0),0,IF(OR(AND(AE5&gt;0,AD5&lt;=0),AND(AE5&lt;0,AD5&gt;=0)),"nm",IF(AND(AE5&lt;0,AD5&lt;0),IF(-(AE5/AD5-1)*100&lt;-100,"(&gt;100)",-(AE5/AD5-1)*100),IF((AE5/AD5-1)*100&gt;100,"&gt;100",(AE5/AD5-1)*100))))</f>
        <v>-6.129476584022042</v>
      </c>
    </row>
    <row r="6" spans="1:32" s="18" customFormat="1" ht="15">
      <c r="A6" s="7"/>
      <c r="B6" s="18" t="s">
        <v>158</v>
      </c>
      <c r="D6" s="104">
        <v>1958</v>
      </c>
      <c r="E6" s="17">
        <v>3876</v>
      </c>
      <c r="F6" s="17">
        <v>2878</v>
      </c>
      <c r="G6" s="17">
        <v>2639</v>
      </c>
      <c r="H6" s="17">
        <v>2627</v>
      </c>
      <c r="I6" s="17"/>
      <c r="J6" s="17">
        <v>2721</v>
      </c>
      <c r="K6" s="17">
        <v>3692</v>
      </c>
      <c r="L6" s="17">
        <v>3419</v>
      </c>
      <c r="M6" s="17">
        <v>3876</v>
      </c>
      <c r="N6" s="17">
        <v>3764</v>
      </c>
      <c r="O6" s="17">
        <v>3431</v>
      </c>
      <c r="P6" s="17">
        <v>3171</v>
      </c>
      <c r="Q6" s="17">
        <v>2878</v>
      </c>
      <c r="R6" s="17">
        <v>2806</v>
      </c>
      <c r="S6" s="17">
        <v>2597</v>
      </c>
      <c r="T6" s="17">
        <v>2511</v>
      </c>
      <c r="U6" s="17">
        <v>2639</v>
      </c>
      <c r="V6" s="17">
        <v>2648</v>
      </c>
      <c r="W6" s="17">
        <v>2761</v>
      </c>
      <c r="X6" s="17">
        <v>2649</v>
      </c>
      <c r="Y6" s="17">
        <v>2627</v>
      </c>
      <c r="Z6" s="125">
        <v>2670</v>
      </c>
      <c r="AA6" s="17">
        <f>IF(AND(Z6=0,Y6=0),0,IF(OR(AND(Z6&gt;0,Y6&lt;=0),AND(Z6&lt;0,Y6&gt;=0)),"nm",IF(AND(Z6&lt;0,Y6&lt;0),IF(-(Z6/Y6-1)*100&lt;-100,"(&gt;100)",-(Z6/Y6-1)*100),IF((Z6/Y6-1)*100&gt;100,"&gt;100",(Z6/Y6-1)*100))))</f>
        <v>1.6368481157213566</v>
      </c>
      <c r="AB6" s="17">
        <f>IF(AND(Z6=0,V6=0),0,IF(OR(AND(Z6&gt;0,V6&lt;=0),AND(Z6&lt;0,V6&gt;=0)),"nm",IF(AND(Z6&lt;0,V6&lt;0),IF(-(Z6/V6-1)*100&lt;-100,"(&gt;100)",-(Z6/V6-1)*100),IF((Z6/V6-1)*100&gt;100,"&gt;100",(Z6/V6-1)*100))))</f>
        <v>0.8308157099697899</v>
      </c>
      <c r="AC6" s="15"/>
      <c r="AD6" s="17">
        <v>2639</v>
      </c>
      <c r="AE6" s="125">
        <v>2627</v>
      </c>
      <c r="AF6" s="17">
        <f>IF(AND(AE6=0,AD6=0),0,IF(OR(AND(AE6&gt;0,AD6&lt;=0),AND(AE6&lt;0,AD6&gt;=0)),"nm",IF(AND(AE6&lt;0,AD6&lt;0),IF(-(AE6/AD6-1)*100&lt;-100,"(&gt;100)",-(AE6/AD6-1)*100),IF((AE6/AD6-1)*100&gt;100,"&gt;100",(AE6/AD6-1)*100))))</f>
        <v>-0.45471769609700674</v>
      </c>
    </row>
    <row r="7" spans="2:32" s="18" customFormat="1" ht="15">
      <c r="B7" s="18" t="s">
        <v>159</v>
      </c>
      <c r="D7" s="104">
        <f>D8+D9</f>
        <v>434</v>
      </c>
      <c r="E7" s="17">
        <f>E8+E9</f>
        <v>343</v>
      </c>
      <c r="F7" s="17">
        <v>335</v>
      </c>
      <c r="G7" s="17">
        <v>265</v>
      </c>
      <c r="H7" s="17">
        <v>99</v>
      </c>
      <c r="I7" s="17"/>
      <c r="J7" s="17">
        <v>512</v>
      </c>
      <c r="K7" s="17">
        <f>K8+K9</f>
        <v>359</v>
      </c>
      <c r="L7" s="17">
        <v>404</v>
      </c>
      <c r="M7" s="17">
        <v>343</v>
      </c>
      <c r="N7" s="17">
        <v>304</v>
      </c>
      <c r="O7" s="17">
        <v>293</v>
      </c>
      <c r="P7" s="17">
        <v>334</v>
      </c>
      <c r="Q7" s="17">
        <v>335</v>
      </c>
      <c r="R7" s="17">
        <v>292</v>
      </c>
      <c r="S7" s="17">
        <v>286</v>
      </c>
      <c r="T7" s="17">
        <v>269</v>
      </c>
      <c r="U7" s="17">
        <v>265</v>
      </c>
      <c r="V7" s="17">
        <v>260</v>
      </c>
      <c r="W7" s="17">
        <v>195</v>
      </c>
      <c r="X7" s="17">
        <v>186</v>
      </c>
      <c r="Y7" s="17">
        <v>99</v>
      </c>
      <c r="Z7" s="125">
        <f>SUM(Z8:Z9)</f>
        <v>97</v>
      </c>
      <c r="AA7" s="17">
        <f>IF(AND(Z7=0,Y7=0),0,IF(OR(AND(Z7&gt;0,Y7&lt;=0),AND(Z7&lt;0,Y7&gt;=0)),"nm",IF(AND(Z7&lt;0,Y7&lt;0),IF(-(Z7/Y7-1)*100&lt;-100,"(&gt;100)",-(Z7/Y7-1)*100),IF((Z7/Y7-1)*100&gt;100,"&gt;100",(Z7/Y7-1)*100))))</f>
        <v>-2.020202020202022</v>
      </c>
      <c r="AB7" s="17">
        <f>IF(AND(Z7=0,V7=0),0,IF(OR(AND(Z7&gt;0,V7&lt;=0),AND(Z7&lt;0,V7&gt;=0)),"nm",IF(AND(Z7&lt;0,V7&lt;0),IF(-(Z7/V7-1)*100&lt;-100,"(&gt;100)",-(Z7/V7-1)*100),IF((Z7/V7-1)*100&gt;100,"&gt;100",(Z7/V7-1)*100))))</f>
        <v>-62.69230769230769</v>
      </c>
      <c r="AC7" s="15"/>
      <c r="AD7" s="17">
        <v>265</v>
      </c>
      <c r="AE7" s="125">
        <f>SUM(AE8:AE9)</f>
        <v>99</v>
      </c>
      <c r="AF7" s="17">
        <f>IF(AND(AE7=0,AD7=0),0,IF(OR(AND(AE7&gt;0,AD7&lt;=0),AND(AE7&lt;0,AD7&gt;=0)),"nm",IF(AND(AE7&lt;0,AD7&lt;0),IF(-(AE7/AD7-1)*100&lt;-100,"(&gt;100)",-(AE7/AD7-1)*100),IF((AE7/AD7-1)*100&gt;100,"&gt;100",(AE7/AD7-1)*100))))</f>
        <v>-62.64150943396227</v>
      </c>
    </row>
    <row r="8" spans="3:35" ht="15">
      <c r="C8" s="6" t="s">
        <v>78</v>
      </c>
      <c r="D8" s="131">
        <v>277</v>
      </c>
      <c r="E8" s="75">
        <v>160</v>
      </c>
      <c r="F8" s="75">
        <v>28</v>
      </c>
      <c r="G8" s="75">
        <v>10</v>
      </c>
      <c r="H8" s="121">
        <v>13</v>
      </c>
      <c r="J8" s="75">
        <v>293</v>
      </c>
      <c r="K8" s="75">
        <v>192</v>
      </c>
      <c r="L8" s="75">
        <v>208</v>
      </c>
      <c r="M8" s="75">
        <v>160</v>
      </c>
      <c r="N8" s="75">
        <v>127</v>
      </c>
      <c r="O8" s="75">
        <v>101</v>
      </c>
      <c r="P8" s="75">
        <v>112</v>
      </c>
      <c r="Q8" s="75">
        <v>28</v>
      </c>
      <c r="R8" s="75">
        <v>25</v>
      </c>
      <c r="S8" s="75">
        <v>10</v>
      </c>
      <c r="T8" s="75">
        <v>10</v>
      </c>
      <c r="U8" s="75">
        <v>10</v>
      </c>
      <c r="V8" s="75">
        <v>10</v>
      </c>
      <c r="W8" s="75">
        <v>13</v>
      </c>
      <c r="X8" s="75">
        <v>13</v>
      </c>
      <c r="Y8" s="75">
        <v>13</v>
      </c>
      <c r="Z8" s="122">
        <v>13</v>
      </c>
      <c r="AA8" s="75">
        <f>IF(AND(Z8=0,Y8=0),0,IF(OR(AND(Z8&gt;0,Y8&lt;=0),AND(Z8&lt;0,Y8&gt;=0)),"nm",IF(AND(Z8&lt;0,Y8&lt;0),IF(-(Z8/Y8-1)*100&lt;-100,"(&gt;100)",-(Z8/Y8-1)*100),IF((Z8/Y8-1)*100&gt;100,"&gt;100",(Z8/Y8-1)*100))))</f>
        <v>0</v>
      </c>
      <c r="AB8" s="75">
        <f>IF(AND(Z8=0,V8=0),0,IF(OR(AND(Z8&gt;0,V8&lt;=0),AND(Z8&lt;0,V8&gt;=0)),"nm",IF(AND(Z8&lt;0,V8&lt;0),IF(-(Z8/V8-1)*100&lt;-100,"(&gt;100)",-(Z8/V8-1)*100),IF((Z8/V8-1)*100&gt;100,"&gt;100",(Z8/V8-1)*100))))</f>
        <v>30.000000000000004</v>
      </c>
      <c r="AD8" s="75">
        <v>10</v>
      </c>
      <c r="AE8" s="122">
        <v>13</v>
      </c>
      <c r="AF8" s="75">
        <f>IF(AND(AE8=0,AD8=0),0,IF(OR(AND(AE8&gt;0,AD8&lt;=0),AND(AE8&lt;0,AD8&gt;=0)),"nm",IF(AND(AE8&lt;0,AD8&lt;0),IF(-(AE8/AD8-1)*100&lt;-100,"(&gt;100)",-(AE8/AD8-1)*100),IF((AE8/AD8-1)*100&gt;100,"&gt;100",(AE8/AD8-1)*100))))</f>
        <v>30.000000000000004</v>
      </c>
      <c r="AG8" s="18"/>
      <c r="AH8" s="18"/>
      <c r="AI8" s="18"/>
    </row>
    <row r="9" spans="3:35" ht="15">
      <c r="C9" s="6" t="s">
        <v>79</v>
      </c>
      <c r="D9" s="131">
        <v>157</v>
      </c>
      <c r="E9" s="75">
        <v>183</v>
      </c>
      <c r="F9" s="75">
        <v>307</v>
      </c>
      <c r="G9" s="75">
        <v>255</v>
      </c>
      <c r="H9" s="121">
        <v>86</v>
      </c>
      <c r="J9" s="75">
        <v>219</v>
      </c>
      <c r="K9" s="75">
        <v>167</v>
      </c>
      <c r="L9" s="75">
        <v>196</v>
      </c>
      <c r="M9" s="75">
        <v>183</v>
      </c>
      <c r="N9" s="75">
        <v>177</v>
      </c>
      <c r="O9" s="75">
        <v>192</v>
      </c>
      <c r="P9" s="75">
        <v>222</v>
      </c>
      <c r="Q9" s="75">
        <v>307</v>
      </c>
      <c r="R9" s="75">
        <v>267</v>
      </c>
      <c r="S9" s="75">
        <v>276</v>
      </c>
      <c r="T9" s="75">
        <v>259</v>
      </c>
      <c r="U9" s="75">
        <v>255</v>
      </c>
      <c r="V9" s="75">
        <v>250</v>
      </c>
      <c r="W9" s="75">
        <v>182</v>
      </c>
      <c r="X9" s="75">
        <v>173</v>
      </c>
      <c r="Y9" s="75">
        <v>86</v>
      </c>
      <c r="Z9" s="122">
        <v>84</v>
      </c>
      <c r="AA9" s="75">
        <f>IF(AND(Z9=0,Y9=0),0,IF(OR(AND(Z9&gt;0,Y9&lt;=0),AND(Z9&lt;0,Y9&gt;=0)),"nm",IF(AND(Z9&lt;0,Y9&lt;0),IF(-(Z9/Y9-1)*100&lt;-100,"(&gt;100)",-(Z9/Y9-1)*100),IF((Z9/Y9-1)*100&gt;100,"&gt;100",(Z9/Y9-1)*100))))</f>
        <v>-2.3255813953488413</v>
      </c>
      <c r="AB9" s="75">
        <f>IF(AND(Z9=0,V9=0),0,IF(OR(AND(Z9&gt;0,V9&lt;=0),AND(Z9&lt;0,V9&gt;=0)),"nm",IF(AND(Z9&lt;0,V9&lt;0),IF(-(Z9/V9-1)*100&lt;-100,"(&gt;100)",-(Z9/V9-1)*100),IF((Z9/V9-1)*100&gt;100,"&gt;100",(Z9/V9-1)*100))))</f>
        <v>-66.39999999999999</v>
      </c>
      <c r="AD9" s="75">
        <v>255</v>
      </c>
      <c r="AE9" s="122">
        <v>86</v>
      </c>
      <c r="AF9" s="75">
        <f>IF(AND(AE9=0,AD9=0),0,IF(OR(AND(AE9&gt;0,AD9&lt;=0),AND(AE9&lt;0,AD9&gt;=0)),"nm",IF(AND(AE9&lt;0,AD9&lt;0),IF(-(AE9/AD9-1)*100&lt;-100,"(&gt;100)",-(AE9/AD9-1)*100),IF((AE9/AD9-1)*100&gt;100,"&gt;100",(AE9/AD9-1)*100))))</f>
        <v>-66.27450980392156</v>
      </c>
      <c r="AG9" s="18"/>
      <c r="AH9" s="18"/>
      <c r="AI9" s="18"/>
    </row>
    <row r="10" spans="1:32" s="18" customFormat="1" ht="15">
      <c r="A10" s="58" t="s">
        <v>148</v>
      </c>
      <c r="D10" s="104"/>
      <c r="E10" s="17"/>
      <c r="F10" s="17"/>
      <c r="G10" s="17"/>
      <c r="H10" s="17"/>
      <c r="I10" s="17"/>
      <c r="J10" s="17"/>
      <c r="K10" s="17"/>
      <c r="L10" s="17"/>
      <c r="M10" s="17"/>
      <c r="N10" s="17"/>
      <c r="O10" s="17"/>
      <c r="P10" s="17"/>
      <c r="Q10" s="17"/>
      <c r="R10" s="17"/>
      <c r="S10" s="17"/>
      <c r="T10" s="17"/>
      <c r="U10" s="17"/>
      <c r="V10" s="17"/>
      <c r="W10" s="17"/>
      <c r="X10" s="17"/>
      <c r="Y10" s="17"/>
      <c r="Z10" s="125"/>
      <c r="AA10" s="17"/>
      <c r="AB10" s="17"/>
      <c r="AC10" s="15"/>
      <c r="AD10" s="17"/>
      <c r="AE10" s="125"/>
      <c r="AF10" s="17"/>
    </row>
    <row r="11" spans="1:35" ht="15">
      <c r="A11" s="10"/>
      <c r="B11" s="22" t="s">
        <v>149</v>
      </c>
      <c r="C11" s="22"/>
      <c r="D11" s="131">
        <v>1328</v>
      </c>
      <c r="E11" s="75">
        <v>2155</v>
      </c>
      <c r="F11" s="75">
        <v>2086</v>
      </c>
      <c r="G11" s="75">
        <v>1526</v>
      </c>
      <c r="H11" s="121">
        <v>1405</v>
      </c>
      <c r="J11" s="131">
        <v>1931</v>
      </c>
      <c r="K11" s="75">
        <v>2816</v>
      </c>
      <c r="L11" s="75">
        <v>2476</v>
      </c>
      <c r="M11" s="75">
        <v>2155</v>
      </c>
      <c r="N11" s="75">
        <v>2078</v>
      </c>
      <c r="O11" s="75">
        <v>1798</v>
      </c>
      <c r="P11" s="75">
        <v>2013</v>
      </c>
      <c r="Q11" s="75">
        <v>2086</v>
      </c>
      <c r="R11" s="75">
        <v>2091</v>
      </c>
      <c r="S11" s="75">
        <v>1907</v>
      </c>
      <c r="T11" s="75">
        <v>1516</v>
      </c>
      <c r="U11" s="75">
        <v>1526</v>
      </c>
      <c r="V11" s="75">
        <v>1560</v>
      </c>
      <c r="W11" s="75">
        <v>1584</v>
      </c>
      <c r="X11" s="75">
        <v>1519</v>
      </c>
      <c r="Y11" s="75">
        <v>1405</v>
      </c>
      <c r="Z11" s="122">
        <v>1474</v>
      </c>
      <c r="AA11" s="75">
        <f>IF(AND(Z11=0,Y11=0),0,IF(OR(AND(Z11&gt;0,Y11&lt;=0),AND(Z11&lt;0,Y11&gt;=0)),"nm",IF(AND(Z11&lt;0,Y11&lt;0),IF(-(Z11/Y11-1)*100&lt;-100,"(&gt;100)",-(Z11/Y11-1)*100),IF((Z11/Y11-1)*100&gt;100,"&gt;100",(Z11/Y11-1)*100))))</f>
        <v>4.911032028469742</v>
      </c>
      <c r="AB11" s="75">
        <f>IF(AND(Z11=0,V11=0),0,IF(OR(AND(Z11&gt;0,V11&lt;=0),AND(Z11&lt;0,V11&gt;=0)),"nm",IF(AND(Z11&lt;0,V11&lt;0),IF(-(Z11/V11-1)*100&lt;-100,"(&gt;100)",-(Z11/V11-1)*100),IF((Z11/V11-1)*100&gt;100,"&gt;100",(Z11/V11-1)*100))))</f>
        <v>-5.512820512820515</v>
      </c>
      <c r="AD11" s="75">
        <v>1526</v>
      </c>
      <c r="AE11" s="122">
        <v>1405</v>
      </c>
      <c r="AF11" s="75">
        <f>IF(AND(AE11=0,AD11=0),0,IF(OR(AND(AE11&gt;0,AD11&lt;=0),AND(AE11&lt;0,AD11&gt;=0)),"nm",IF(AND(AE11&lt;0,AD11&lt;0),IF(-(AE11/AD11-1)*100&lt;-100,"(&gt;100)",-(AE11/AD11-1)*100),IF((AE11/AD11-1)*100&gt;100,"&gt;100",(AE11/AD11-1)*100))))</f>
        <v>-7.929226736566186</v>
      </c>
      <c r="AG11" s="18"/>
      <c r="AH11" s="18"/>
      <c r="AI11" s="18"/>
    </row>
    <row r="12" spans="1:35" ht="15">
      <c r="A12" s="10"/>
      <c r="B12" s="22" t="s">
        <v>150</v>
      </c>
      <c r="C12" s="22"/>
      <c r="D12" s="131">
        <v>800</v>
      </c>
      <c r="E12" s="75">
        <v>1431</v>
      </c>
      <c r="F12" s="75">
        <v>737</v>
      </c>
      <c r="G12" s="75">
        <v>985</v>
      </c>
      <c r="H12" s="121">
        <v>752</v>
      </c>
      <c r="J12" s="75">
        <v>950</v>
      </c>
      <c r="K12" s="75">
        <v>791</v>
      </c>
      <c r="L12" s="75">
        <v>830</v>
      </c>
      <c r="M12" s="75">
        <v>1431</v>
      </c>
      <c r="N12" s="75">
        <v>1311</v>
      </c>
      <c r="O12" s="75">
        <v>1390</v>
      </c>
      <c r="P12" s="75">
        <v>993</v>
      </c>
      <c r="Q12" s="75">
        <v>737</v>
      </c>
      <c r="R12" s="75">
        <v>622</v>
      </c>
      <c r="S12" s="75">
        <v>596</v>
      </c>
      <c r="T12" s="75">
        <v>890</v>
      </c>
      <c r="U12" s="75">
        <v>985</v>
      </c>
      <c r="V12" s="75">
        <v>969</v>
      </c>
      <c r="W12" s="75">
        <v>990</v>
      </c>
      <c r="X12" s="75">
        <v>947</v>
      </c>
      <c r="Y12" s="75">
        <v>752</v>
      </c>
      <c r="Z12" s="122">
        <v>724</v>
      </c>
      <c r="AA12" s="75">
        <f>IF(AND(Z12=0,Y12=0),0,IF(OR(AND(Z12&gt;0,Y12&lt;=0),AND(Z12&lt;0,Y12&gt;=0)),"nm",IF(AND(Z12&lt;0,Y12&lt;0),IF(-(Z12/Y12-1)*100&lt;-100,"(&gt;100)",-(Z12/Y12-1)*100),IF((Z12/Y12-1)*100&gt;100,"&gt;100",(Z12/Y12-1)*100))))</f>
        <v>-3.7234042553191515</v>
      </c>
      <c r="AB12" s="75">
        <f>IF(AND(Z12=0,V12=0),0,IF(OR(AND(Z12&gt;0,V12&lt;=0),AND(Z12&lt;0,V12&gt;=0)),"nm",IF(AND(Z12&lt;0,V12&lt;0),IF(-(Z12/V12-1)*100&lt;-100,"(&gt;100)",-(Z12/V12-1)*100),IF((Z12/V12-1)*100&gt;100,"&gt;100",(Z12/V12-1)*100))))</f>
        <v>-25.28379772961816</v>
      </c>
      <c r="AD12" s="75">
        <v>985</v>
      </c>
      <c r="AE12" s="122">
        <v>752</v>
      </c>
      <c r="AF12" s="75">
        <f>IF(AND(AE12=0,AD12=0),0,IF(OR(AND(AE12&gt;0,AD12&lt;=0),AND(AE12&lt;0,AD12&gt;=0)),"nm",IF(AND(AE12&lt;0,AD12&lt;0),IF(-(AE12/AD12-1)*100&lt;-100,"(&gt;100)",-(AE12/AD12-1)*100),IF((AE12/AD12-1)*100&gt;100,"&gt;100",(AE12/AD12-1)*100))))</f>
        <v>-23.654822335025383</v>
      </c>
      <c r="AG12" s="18"/>
      <c r="AH12" s="18"/>
      <c r="AI12" s="18"/>
    </row>
    <row r="13" spans="1:35" ht="15">
      <c r="A13" s="10"/>
      <c r="B13" s="22" t="s">
        <v>151</v>
      </c>
      <c r="C13" s="22"/>
      <c r="D13" s="131">
        <v>264</v>
      </c>
      <c r="E13" s="75">
        <v>633</v>
      </c>
      <c r="F13" s="75">
        <v>390</v>
      </c>
      <c r="G13" s="75">
        <v>393</v>
      </c>
      <c r="H13" s="121">
        <v>569</v>
      </c>
      <c r="J13" s="131">
        <v>352</v>
      </c>
      <c r="K13" s="75">
        <v>444</v>
      </c>
      <c r="L13" s="75">
        <v>517</v>
      </c>
      <c r="M13" s="75">
        <v>633</v>
      </c>
      <c r="N13" s="75">
        <v>679</v>
      </c>
      <c r="O13" s="75">
        <v>536</v>
      </c>
      <c r="P13" s="75">
        <v>499</v>
      </c>
      <c r="Q13" s="75">
        <v>390</v>
      </c>
      <c r="R13" s="75">
        <v>385</v>
      </c>
      <c r="S13" s="75">
        <v>380</v>
      </c>
      <c r="T13" s="75">
        <v>374</v>
      </c>
      <c r="U13" s="75">
        <v>393</v>
      </c>
      <c r="V13" s="75">
        <v>379</v>
      </c>
      <c r="W13" s="75">
        <v>382</v>
      </c>
      <c r="X13" s="75">
        <v>369</v>
      </c>
      <c r="Y13" s="75">
        <v>569</v>
      </c>
      <c r="Z13" s="122">
        <v>569</v>
      </c>
      <c r="AA13" s="75">
        <f>IF(AND(Z13=0,Y13=0),0,IF(OR(AND(Z13&gt;0,Y13&lt;=0),AND(Z13&lt;0,Y13&gt;=0)),"nm",IF(AND(Z13&lt;0,Y13&lt;0),IF(-(Z13/Y13-1)*100&lt;-100,"(&gt;100)",-(Z13/Y13-1)*100),IF((Z13/Y13-1)*100&gt;100,"&gt;100",(Z13/Y13-1)*100))))</f>
        <v>0</v>
      </c>
      <c r="AB13" s="75">
        <f>IF(AND(Z13=0,V13=0),0,IF(OR(AND(Z13&gt;0,V13&lt;=0),AND(Z13&lt;0,V13&gt;=0)),"nm",IF(AND(Z13&lt;0,V13&lt;0),IF(-(Z13/V13-1)*100&lt;-100,"(&gt;100)",-(Z13/V13-1)*100),IF((Z13/V13-1)*100&gt;100,"&gt;100",(Z13/V13-1)*100))))</f>
        <v>50.131926121372025</v>
      </c>
      <c r="AD13" s="75">
        <v>393</v>
      </c>
      <c r="AE13" s="122">
        <v>569</v>
      </c>
      <c r="AF13" s="75">
        <f>IF(AND(AE13=0,AD13=0),0,IF(OR(AND(AE13&gt;0,AD13&lt;=0),AND(AE13&lt;0,AD13&gt;=0)),"nm",IF(AND(AE13&lt;0,AD13&lt;0),IF(-(AE13/AD13-1)*100&lt;-100,"(&gt;100)",-(AE13/AD13-1)*100),IF((AE13/AD13-1)*100&gt;100,"&gt;100",(AE13/AD13-1)*100))))</f>
        <v>44.783715012722645</v>
      </c>
      <c r="AG13" s="18"/>
      <c r="AH13" s="18"/>
      <c r="AI13" s="18"/>
    </row>
    <row r="14" spans="1:32" s="18" customFormat="1" ht="15">
      <c r="A14" s="58" t="s">
        <v>152</v>
      </c>
      <c r="C14" s="22"/>
      <c r="D14" s="104"/>
      <c r="E14" s="17"/>
      <c r="F14" s="17"/>
      <c r="G14" s="17"/>
      <c r="H14" s="17"/>
      <c r="I14" s="17"/>
      <c r="J14" s="17"/>
      <c r="K14" s="17"/>
      <c r="L14" s="17"/>
      <c r="M14" s="17"/>
      <c r="N14" s="17"/>
      <c r="O14" s="17"/>
      <c r="P14" s="17"/>
      <c r="Q14" s="17"/>
      <c r="R14" s="17"/>
      <c r="S14" s="17"/>
      <c r="T14" s="17"/>
      <c r="U14" s="17"/>
      <c r="V14" s="17"/>
      <c r="W14" s="17"/>
      <c r="X14" s="17"/>
      <c r="Y14" s="17"/>
      <c r="Z14" s="478"/>
      <c r="AA14" s="17"/>
      <c r="AB14" s="17"/>
      <c r="AC14" s="15"/>
      <c r="AD14" s="17"/>
      <c r="AE14" s="125"/>
      <c r="AF14" s="17"/>
    </row>
    <row r="15" spans="2:35" ht="15">
      <c r="B15" s="22" t="s">
        <v>153</v>
      </c>
      <c r="C15" s="22"/>
      <c r="D15" s="131">
        <v>556</v>
      </c>
      <c r="E15" s="75">
        <v>540</v>
      </c>
      <c r="F15" s="75">
        <v>250</v>
      </c>
      <c r="G15" s="75">
        <v>355</v>
      </c>
      <c r="H15" s="121">
        <v>269</v>
      </c>
      <c r="J15" s="75">
        <v>817</v>
      </c>
      <c r="K15" s="75">
        <v>800</v>
      </c>
      <c r="L15" s="75">
        <v>629</v>
      </c>
      <c r="M15" s="75">
        <v>540</v>
      </c>
      <c r="N15" s="75">
        <v>520</v>
      </c>
      <c r="O15" s="75">
        <v>349</v>
      </c>
      <c r="P15" s="75">
        <v>284</v>
      </c>
      <c r="Q15" s="75">
        <v>250</v>
      </c>
      <c r="R15" s="75">
        <v>274</v>
      </c>
      <c r="S15" s="75">
        <v>269</v>
      </c>
      <c r="T15" s="75">
        <v>335</v>
      </c>
      <c r="U15" s="75">
        <v>355</v>
      </c>
      <c r="V15" s="75">
        <v>373</v>
      </c>
      <c r="W15" s="75">
        <v>353</v>
      </c>
      <c r="X15" s="75">
        <v>330</v>
      </c>
      <c r="Y15" s="75">
        <v>269</v>
      </c>
      <c r="Z15" s="122">
        <v>297</v>
      </c>
      <c r="AA15" s="75">
        <f>IF(AND(Z15=0,Y15=0),0,IF(OR(AND(Z15&gt;0,Y15&lt;=0),AND(Z15&lt;0,Y15&gt;=0)),"nm",IF(AND(Z15&lt;0,Y15&lt;0),IF(-(Z15/Y15-1)*100&lt;-100,"(&gt;100)",-(Z15/Y15-1)*100),IF((Z15/Y15-1)*100&gt;100,"&gt;100",(Z15/Y15-1)*100))))</f>
        <v>10.408921933085491</v>
      </c>
      <c r="AB15" s="75">
        <f>IF(AND(Z15=0,V15=0),0,IF(OR(AND(Z15&gt;0,V15&lt;=0),AND(Z15&lt;0,V15&gt;=0)),"nm",IF(AND(Z15&lt;0,V15&lt;0),IF(-(Z15/V15-1)*100&lt;-100,"(&gt;100)",-(Z15/V15-1)*100),IF((Z15/V15-1)*100&gt;100,"&gt;100",(Z15/V15-1)*100))))</f>
        <v>-20.375335120643435</v>
      </c>
      <c r="AD15" s="75">
        <v>355</v>
      </c>
      <c r="AE15" s="122">
        <v>269</v>
      </c>
      <c r="AF15" s="75">
        <f>IF(AND(AE15=0,AD15=0),0,IF(OR(AND(AE15&gt;0,AD15&lt;=0),AND(AE15&lt;0,AD15&gt;=0)),"nm",IF(AND(AE15&lt;0,AD15&lt;0),IF(-(AE15/AD15-1)*100&lt;-100,"(&gt;100)",-(AE15/AD15-1)*100),IF((AE15/AD15-1)*100&gt;100,"&gt;100",(AE15/AD15-1)*100))))</f>
        <v>-24.225352112676056</v>
      </c>
      <c r="AG15" s="18"/>
      <c r="AH15" s="18"/>
      <c r="AI15" s="18"/>
    </row>
    <row r="16" spans="2:35" ht="15">
      <c r="B16" s="22" t="s">
        <v>154</v>
      </c>
      <c r="C16" s="22"/>
      <c r="D16" s="131">
        <v>43</v>
      </c>
      <c r="E16" s="75">
        <v>124</v>
      </c>
      <c r="F16" s="75">
        <v>85</v>
      </c>
      <c r="G16" s="75">
        <v>78</v>
      </c>
      <c r="H16" s="121">
        <v>58</v>
      </c>
      <c r="J16" s="75">
        <v>121</v>
      </c>
      <c r="K16" s="75">
        <v>231</v>
      </c>
      <c r="L16" s="75">
        <v>149</v>
      </c>
      <c r="M16" s="75">
        <v>124</v>
      </c>
      <c r="N16" s="75">
        <v>106</v>
      </c>
      <c r="O16" s="75">
        <v>116</v>
      </c>
      <c r="P16" s="75">
        <v>112</v>
      </c>
      <c r="Q16" s="75">
        <v>85</v>
      </c>
      <c r="R16" s="75">
        <v>99</v>
      </c>
      <c r="S16" s="75">
        <v>106</v>
      </c>
      <c r="T16" s="75">
        <v>83</v>
      </c>
      <c r="U16" s="75">
        <v>78</v>
      </c>
      <c r="V16" s="75">
        <v>74</v>
      </c>
      <c r="W16" s="75">
        <v>74</v>
      </c>
      <c r="X16" s="75">
        <v>62</v>
      </c>
      <c r="Y16" s="75">
        <v>58</v>
      </c>
      <c r="Z16" s="122">
        <v>84</v>
      </c>
      <c r="AA16" s="75">
        <f>IF(AND(Z16=0,Y16=0),0,IF(OR(AND(Z16&gt;0,Y16&lt;=0),AND(Z16&lt;0,Y16&gt;=0)),"nm",IF(AND(Z16&lt;0,Y16&lt;0),IF(-(Z16/Y16-1)*100&lt;-100,"(&gt;100)",-(Z16/Y16-1)*100),IF((Z16/Y16-1)*100&gt;100,"&gt;100",(Z16/Y16-1)*100))))</f>
        <v>44.827586206896555</v>
      </c>
      <c r="AB16" s="75">
        <f>IF(AND(Z16=0,V16=0),0,IF(OR(AND(Z16&gt;0,V16&lt;=0),AND(Z16&lt;0,V16&gt;=0)),"nm",IF(AND(Z16&lt;0,V16&lt;0),IF(-(Z16/V16-1)*100&lt;-100,"(&gt;100)",-(Z16/V16-1)*100),IF((Z16/V16-1)*100&gt;100,"&gt;100",(Z16/V16-1)*100))))</f>
        <v>13.513513513513509</v>
      </c>
      <c r="AD16" s="75">
        <v>78</v>
      </c>
      <c r="AE16" s="122">
        <v>58</v>
      </c>
      <c r="AF16" s="75">
        <f>IF(AND(AE16=0,AD16=0),0,IF(OR(AND(AE16&gt;0,AD16&lt;=0),AND(AE16&lt;0,AD16&gt;=0)),"nm",IF(AND(AE16&lt;0,AD16&lt;0),IF(-(AE16/AD16-1)*100&lt;-100,"(&gt;100)",-(AE16/AD16-1)*100),IF((AE16/AD16-1)*100&gt;100,"&gt;100",(AE16/AD16-1)*100))))</f>
        <v>-25.64102564102564</v>
      </c>
      <c r="AG16" s="18"/>
      <c r="AH16" s="18"/>
      <c r="AI16" s="18"/>
    </row>
    <row r="17" spans="2:35" ht="15">
      <c r="B17" s="22" t="s">
        <v>155</v>
      </c>
      <c r="C17" s="22"/>
      <c r="D17" s="131">
        <v>16</v>
      </c>
      <c r="E17" s="75">
        <v>22</v>
      </c>
      <c r="F17" s="75">
        <v>38</v>
      </c>
      <c r="G17" s="75">
        <v>41</v>
      </c>
      <c r="H17" s="121">
        <v>32</v>
      </c>
      <c r="J17" s="75">
        <v>18</v>
      </c>
      <c r="K17" s="75">
        <v>13</v>
      </c>
      <c r="L17" s="75">
        <v>13</v>
      </c>
      <c r="M17" s="75">
        <v>22</v>
      </c>
      <c r="N17" s="75">
        <v>24</v>
      </c>
      <c r="O17" s="75">
        <v>45</v>
      </c>
      <c r="P17" s="75">
        <v>37</v>
      </c>
      <c r="Q17" s="75">
        <v>38</v>
      </c>
      <c r="R17" s="75">
        <v>40</v>
      </c>
      <c r="S17" s="75">
        <v>40</v>
      </c>
      <c r="T17" s="75">
        <v>43</v>
      </c>
      <c r="U17" s="75">
        <v>41</v>
      </c>
      <c r="V17" s="75">
        <v>40</v>
      </c>
      <c r="W17" s="75">
        <v>34</v>
      </c>
      <c r="X17" s="75">
        <v>34</v>
      </c>
      <c r="Y17" s="75">
        <v>32</v>
      </c>
      <c r="Z17" s="122">
        <v>29</v>
      </c>
      <c r="AA17" s="75">
        <f>IF(AND(Z17=0,Y17=0),0,IF(OR(AND(Z17&gt;0,Y17&lt;=0),AND(Z17&lt;0,Y17&gt;=0)),"nm",IF(AND(Z17&lt;0,Y17&lt;0),IF(-(Z17/Y17-1)*100&lt;-100,"(&gt;100)",-(Z17/Y17-1)*100),IF((Z17/Y17-1)*100&gt;100,"&gt;100",(Z17/Y17-1)*100))))</f>
        <v>-9.375</v>
      </c>
      <c r="AB17" s="75">
        <f>IF(AND(Z17=0,V17=0),0,IF(OR(AND(Z17&gt;0,V17&lt;=0),AND(Z17&lt;0,V17&gt;=0)),"nm",IF(AND(Z17&lt;0,V17&lt;0),IF(-(Z17/V17-1)*100&lt;-100,"(&gt;100)",-(Z17/V17-1)*100),IF((Z17/V17-1)*100&gt;100,"&gt;100",(Z17/V17-1)*100))))</f>
        <v>-27.500000000000004</v>
      </c>
      <c r="AD17" s="75">
        <v>41</v>
      </c>
      <c r="AE17" s="122">
        <v>32</v>
      </c>
      <c r="AF17" s="75">
        <f>IF(AND(AE17=0,AD17=0),0,IF(OR(AND(AE17&gt;0,AD17&lt;=0),AND(AE17&lt;0,AD17&gt;=0)),"nm",IF(AND(AE17&lt;0,AD17&lt;0),IF(-(AE17/AD17-1)*100&lt;-100,"(&gt;100)",-(AE17/AD17-1)*100),IF((AE17/AD17-1)*100&gt;100,"&gt;100",(AE17/AD17-1)*100))))</f>
        <v>-21.95121951219512</v>
      </c>
      <c r="AG17" s="18"/>
      <c r="AH17" s="18"/>
      <c r="AI17" s="18"/>
    </row>
    <row r="18" spans="2:35" ht="15">
      <c r="B18" s="22" t="s">
        <v>156</v>
      </c>
      <c r="C18" s="22"/>
      <c r="D18" s="131">
        <v>223</v>
      </c>
      <c r="E18" s="75">
        <v>300</v>
      </c>
      <c r="F18" s="75">
        <v>317</v>
      </c>
      <c r="G18" s="75">
        <v>213</v>
      </c>
      <c r="H18" s="121">
        <v>252</v>
      </c>
      <c r="J18" s="75">
        <v>259</v>
      </c>
      <c r="K18" s="75">
        <v>266</v>
      </c>
      <c r="L18" s="75">
        <v>349</v>
      </c>
      <c r="M18" s="75">
        <v>300</v>
      </c>
      <c r="N18" s="75">
        <v>285</v>
      </c>
      <c r="O18" s="75">
        <v>242</v>
      </c>
      <c r="P18" s="75">
        <v>346</v>
      </c>
      <c r="Q18" s="75">
        <v>317</v>
      </c>
      <c r="R18" s="75">
        <v>310</v>
      </c>
      <c r="S18" s="75">
        <v>258</v>
      </c>
      <c r="T18" s="75">
        <v>135</v>
      </c>
      <c r="U18" s="75">
        <v>213</v>
      </c>
      <c r="V18" s="75">
        <v>257</v>
      </c>
      <c r="W18" s="75">
        <v>261</v>
      </c>
      <c r="X18" s="75">
        <v>247</v>
      </c>
      <c r="Y18" s="75">
        <v>252</v>
      </c>
      <c r="Z18" s="122">
        <v>262</v>
      </c>
      <c r="AA18" s="75">
        <f>IF(AND(Z18=0,Y18=0),0,IF(OR(AND(Z18&gt;0,Y18&lt;=0),AND(Z18&lt;0,Y18&gt;=0)),"nm",IF(AND(Z18&lt;0,Y18&lt;0),IF(-(Z18/Y18-1)*100&lt;-100,"(&gt;100)",-(Z18/Y18-1)*100),IF((Z18/Y18-1)*100&gt;100,"&gt;100",(Z18/Y18-1)*100))))</f>
        <v>3.9682539682539764</v>
      </c>
      <c r="AB18" s="75">
        <f>IF(AND(Z18=0,V18=0),0,IF(OR(AND(Z18&gt;0,V18&lt;=0),AND(Z18&lt;0,V18&gt;=0)),"nm",IF(AND(Z18&lt;0,V18&lt;0),IF(-(Z18/V18-1)*100&lt;-100,"(&gt;100)",-(Z18/V18-1)*100),IF((Z18/V18-1)*100&gt;100,"&gt;100",(Z18/V18-1)*100))))</f>
        <v>1.9455252918287869</v>
      </c>
      <c r="AD18" s="75">
        <v>213</v>
      </c>
      <c r="AE18" s="122">
        <v>252</v>
      </c>
      <c r="AF18" s="75">
        <f>IF(AND(AE18=0,AD18=0),0,IF(OR(AND(AE18&gt;0,AD18&lt;=0),AND(AE18&lt;0,AD18&gt;=0)),"nm",IF(AND(AE18&lt;0,AD18&lt;0),IF(-(AE18/AD18-1)*100&lt;-100,"(&gt;100)",-(AE18/AD18-1)*100),IF((AE18/AD18-1)*100&gt;100,"&gt;100",(AE18/AD18-1)*100))))</f>
        <v>18.309859154929576</v>
      </c>
      <c r="AG18" s="18"/>
      <c r="AH18" s="18"/>
      <c r="AI18" s="18"/>
    </row>
    <row r="19" spans="2:35" ht="15">
      <c r="B19" s="22" t="s">
        <v>100</v>
      </c>
      <c r="C19" s="22"/>
      <c r="D19" s="131">
        <f>D5-D15-D16-D17-D18</f>
        <v>1554</v>
      </c>
      <c r="E19" s="75">
        <f>E5-E15-E16-E17-E18</f>
        <v>3233</v>
      </c>
      <c r="F19" s="75">
        <v>2523</v>
      </c>
      <c r="G19" s="75">
        <v>2217</v>
      </c>
      <c r="H19" s="121">
        <v>2115</v>
      </c>
      <c r="J19" s="75">
        <v>2018</v>
      </c>
      <c r="K19" s="75">
        <f>K5-K15-K16-K17-K18</f>
        <v>2741</v>
      </c>
      <c r="L19" s="75">
        <v>2683</v>
      </c>
      <c r="M19" s="75">
        <v>3233</v>
      </c>
      <c r="N19" s="75">
        <v>3133</v>
      </c>
      <c r="O19" s="75">
        <v>2972</v>
      </c>
      <c r="P19" s="75">
        <v>2726</v>
      </c>
      <c r="Q19" s="75">
        <v>2523</v>
      </c>
      <c r="R19" s="75">
        <v>2375</v>
      </c>
      <c r="S19" s="75">
        <v>2210</v>
      </c>
      <c r="T19" s="75">
        <v>2184</v>
      </c>
      <c r="U19" s="75">
        <v>2217</v>
      </c>
      <c r="V19" s="75">
        <v>2164</v>
      </c>
      <c r="W19" s="75">
        <v>2234</v>
      </c>
      <c r="X19" s="75">
        <v>2162</v>
      </c>
      <c r="Y19" s="75">
        <v>2115</v>
      </c>
      <c r="Z19" s="122">
        <v>2095</v>
      </c>
      <c r="AA19" s="75">
        <f>IF(AND(Z19=0,Y19=0),0,IF(OR(AND(Z19&gt;0,Y19&lt;=0),AND(Z19&lt;0,Y19&gt;=0)),"nm",IF(AND(Z19&lt;0,Y19&lt;0),IF(-(Z19/Y19-1)*100&lt;-100,"(&gt;100)",-(Z19/Y19-1)*100),IF((Z19/Y19-1)*100&gt;100,"&gt;100",(Z19/Y19-1)*100))))</f>
        <v>-0.9456264775413725</v>
      </c>
      <c r="AB19" s="75">
        <f>IF(AND(Z19=0,V19=0),0,IF(OR(AND(Z19&gt;0,V19&lt;=0),AND(Z19&lt;0,V19&gt;=0)),"nm",IF(AND(Z19&lt;0,V19&lt;0),IF(-(Z19/V19-1)*100&lt;-100,"(&gt;100)",-(Z19/V19-1)*100),IF((Z19/V19-1)*100&gt;100,"&gt;100",(Z19/V19-1)*100))))</f>
        <v>-3.1885397412199645</v>
      </c>
      <c r="AD19" s="75">
        <v>2217</v>
      </c>
      <c r="AE19" s="122">
        <v>2115</v>
      </c>
      <c r="AF19" s="75">
        <f>IF(AND(AE19=0,AD19=0),0,IF(OR(AND(AE19&gt;0,AD19&lt;=0),AND(AE19&lt;0,AD19&gt;=0)),"nm",IF(AND(AE19&lt;0,AD19&lt;0),IF(-(AE19/AD19-1)*100&lt;-100,"(&gt;100)",-(AE19/AD19-1)*100),IF((AE19/AD19-1)*100&gt;100,"&gt;100",(AE19/AD19-1)*100))))</f>
        <v>-4.6008119079837595</v>
      </c>
      <c r="AG19" s="18"/>
      <c r="AH19" s="18"/>
      <c r="AI19" s="18"/>
    </row>
    <row r="20" spans="1:35" ht="15">
      <c r="A20" s="58" t="s">
        <v>160</v>
      </c>
      <c r="C20" s="22"/>
      <c r="D20" s="131"/>
      <c r="H20" s="121"/>
      <c r="Z20" s="477"/>
      <c r="AE20" s="122"/>
      <c r="AG20" s="18"/>
      <c r="AH20" s="18"/>
      <c r="AI20" s="18"/>
    </row>
    <row r="21" spans="2:35" ht="15">
      <c r="B21" s="22" t="s">
        <v>161</v>
      </c>
      <c r="C21" s="22"/>
      <c r="D21" s="131">
        <v>857</v>
      </c>
      <c r="E21" s="75">
        <v>1802</v>
      </c>
      <c r="F21" s="75">
        <v>1294</v>
      </c>
      <c r="G21" s="75">
        <v>1161</v>
      </c>
      <c r="H21" s="121">
        <v>1245</v>
      </c>
      <c r="J21" s="75">
        <v>1107</v>
      </c>
      <c r="K21" s="75">
        <v>1547</v>
      </c>
      <c r="L21" s="75">
        <v>1313</v>
      </c>
      <c r="M21" s="75">
        <v>1802</v>
      </c>
      <c r="N21" s="75">
        <v>1653</v>
      </c>
      <c r="O21" s="75">
        <v>969</v>
      </c>
      <c r="P21" s="75">
        <v>1323</v>
      </c>
      <c r="Q21" s="75">
        <v>1294</v>
      </c>
      <c r="R21" s="75">
        <v>1178</v>
      </c>
      <c r="S21" s="75">
        <v>1592</v>
      </c>
      <c r="T21" s="75">
        <v>1019</v>
      </c>
      <c r="U21" s="75">
        <v>1161</v>
      </c>
      <c r="V21" s="75">
        <v>1062</v>
      </c>
      <c r="W21" s="75">
        <v>970</v>
      </c>
      <c r="X21" s="75">
        <v>877</v>
      </c>
      <c r="Y21" s="75">
        <v>1245</v>
      </c>
      <c r="Z21" s="122">
        <v>1203</v>
      </c>
      <c r="AA21" s="75">
        <f>IF(AND(Z21=0,Y21=0),0,IF(OR(AND(Z21&gt;0,Y21&lt;=0),AND(Z21&lt;0,Y21&gt;=0)),"nm",IF(AND(Z21&lt;0,Y21&lt;0),IF(-(Z21/Y21-1)*100&lt;-100,"(&gt;100)",-(Z21/Y21-1)*100),IF((Z21/Y21-1)*100&gt;100,"&gt;100",(Z21/Y21-1)*100))))</f>
        <v>-3.3734939759036187</v>
      </c>
      <c r="AB21" s="75">
        <f>IF(AND(Z21=0,V21=0),0,IF(OR(AND(Z21&gt;0,V21&lt;=0),AND(Z21&lt;0,V21&gt;=0)),"nm",IF(AND(Z21&lt;0,V21&lt;0),IF(-(Z21/V21-1)*100&lt;-100,"(&gt;100)",-(Z21/V21-1)*100),IF((Z21/V21-1)*100&gt;100,"&gt;100",(Z21/V21-1)*100))))</f>
        <v>13.276836158192085</v>
      </c>
      <c r="AD21" s="75">
        <v>1161</v>
      </c>
      <c r="AE21" s="122">
        <v>1245</v>
      </c>
      <c r="AF21" s="75">
        <f>IF(AND(AE21=0,AD21=0),0,IF(OR(AND(AE21&gt;0,AD21&lt;=0),AND(AE21&lt;0,AD21&gt;=0)),"nm",IF(AND(AE21&lt;0,AD21&lt;0),IF(-(AE21/AD21-1)*100&lt;-100,"(&gt;100)",-(AE21/AD21-1)*100),IF((AE21/AD21-1)*100&gt;100,"&gt;100",(AE21/AD21-1)*100))))</f>
        <v>7.235142118863047</v>
      </c>
      <c r="AG21" s="18"/>
      <c r="AH21" s="18"/>
      <c r="AI21" s="18"/>
    </row>
    <row r="22" spans="2:35" ht="15">
      <c r="B22" s="22" t="s">
        <v>162</v>
      </c>
      <c r="C22" s="22"/>
      <c r="D22" s="131">
        <v>463</v>
      </c>
      <c r="E22" s="75">
        <v>358</v>
      </c>
      <c r="F22" s="75">
        <v>225</v>
      </c>
      <c r="G22" s="75">
        <v>169</v>
      </c>
      <c r="H22" s="121">
        <v>297</v>
      </c>
      <c r="J22" s="75">
        <v>589</v>
      </c>
      <c r="K22" s="75">
        <v>1036</v>
      </c>
      <c r="L22" s="75">
        <v>648</v>
      </c>
      <c r="M22" s="75">
        <v>358</v>
      </c>
      <c r="N22" s="75">
        <v>265</v>
      </c>
      <c r="O22" s="75">
        <v>771</v>
      </c>
      <c r="P22" s="75">
        <v>198</v>
      </c>
      <c r="Q22" s="75">
        <v>225</v>
      </c>
      <c r="R22" s="75">
        <v>328</v>
      </c>
      <c r="S22" s="75">
        <v>221</v>
      </c>
      <c r="T22" s="75">
        <v>675</v>
      </c>
      <c r="U22" s="75">
        <v>169</v>
      </c>
      <c r="V22" s="75">
        <v>324</v>
      </c>
      <c r="W22" s="75">
        <v>473</v>
      </c>
      <c r="X22" s="75">
        <v>360</v>
      </c>
      <c r="Y22" s="75">
        <v>297</v>
      </c>
      <c r="Z22" s="122">
        <v>363</v>
      </c>
      <c r="AA22" s="75">
        <f>IF(AND(Z22=0,Y22=0),0,IF(OR(AND(Z22&gt;0,Y22&lt;=0),AND(Z22&lt;0,Y22&gt;=0)),"nm",IF(AND(Z22&lt;0,Y22&lt;0),IF(-(Z22/Y22-1)*100&lt;-100,"(&gt;100)",-(Z22/Y22-1)*100),IF((Z22/Y22-1)*100&gt;100,"&gt;100",(Z22/Y22-1)*100))))</f>
        <v>22.222222222222232</v>
      </c>
      <c r="AB22" s="75">
        <f>IF(AND(Z22=0,V22=0),0,IF(OR(AND(Z22&gt;0,V22&lt;=0),AND(Z22&lt;0,V22&gt;=0)),"nm",IF(AND(Z22&lt;0,V22&lt;0),IF(-(Z22/V22-1)*100&lt;-100,"(&gt;100)",-(Z22/V22-1)*100),IF((Z22/V22-1)*100&gt;100,"&gt;100",(Z22/V22-1)*100))))</f>
        <v>12.037037037037045</v>
      </c>
      <c r="AD22" s="75">
        <v>169</v>
      </c>
      <c r="AE22" s="122">
        <v>297</v>
      </c>
      <c r="AF22" s="75">
        <f>IF(AND(AE22=0,AD22=0),0,IF(OR(AND(AE22&gt;0,AD22&lt;=0),AND(AE22&lt;0,AD22&gt;=0)),"nm",IF(AND(AE22&lt;0,AD22&lt;0),IF(-(AE22/AD22-1)*100&lt;-100,"(&gt;100)",-(AE22/AD22-1)*100),IF((AE22/AD22-1)*100&gt;100,"&gt;100",(AE22/AD22-1)*100))))</f>
        <v>75.7396449704142</v>
      </c>
      <c r="AG22" s="18"/>
      <c r="AH22" s="18"/>
      <c r="AI22" s="18"/>
    </row>
    <row r="23" spans="2:35" ht="15">
      <c r="B23" s="22" t="s">
        <v>163</v>
      </c>
      <c r="C23" s="22"/>
      <c r="D23" s="131">
        <v>326</v>
      </c>
      <c r="E23" s="75">
        <v>113</v>
      </c>
      <c r="F23" s="75">
        <v>124</v>
      </c>
      <c r="G23" s="75">
        <v>607</v>
      </c>
      <c r="H23" s="121">
        <v>193</v>
      </c>
      <c r="J23" s="75">
        <v>495</v>
      </c>
      <c r="K23" s="75">
        <v>468</v>
      </c>
      <c r="L23" s="75">
        <v>655</v>
      </c>
      <c r="M23" s="75">
        <v>113</v>
      </c>
      <c r="N23" s="75">
        <v>245</v>
      </c>
      <c r="O23" s="75">
        <v>141</v>
      </c>
      <c r="P23" s="75">
        <v>655</v>
      </c>
      <c r="Q23" s="75">
        <v>124</v>
      </c>
      <c r="R23" s="75">
        <v>93</v>
      </c>
      <c r="S23" s="75">
        <v>134</v>
      </c>
      <c r="T23" s="75">
        <v>129</v>
      </c>
      <c r="U23" s="75">
        <v>607</v>
      </c>
      <c r="V23" s="75">
        <v>74</v>
      </c>
      <c r="W23" s="75">
        <v>187</v>
      </c>
      <c r="X23" s="75">
        <v>239</v>
      </c>
      <c r="Y23" s="75">
        <v>193</v>
      </c>
      <c r="Z23" s="122">
        <v>271</v>
      </c>
      <c r="AA23" s="75">
        <f>IF(AND(Z23=0,Y23=0),0,IF(OR(AND(Z23&gt;0,Y23&lt;=0),AND(Z23&lt;0,Y23&gt;=0)),"nm",IF(AND(Z23&lt;0,Y23&lt;0),IF(-(Z23/Y23-1)*100&lt;-100,"(&gt;100)",-(Z23/Y23-1)*100),IF((Z23/Y23-1)*100&gt;100,"&gt;100",(Z23/Y23-1)*100))))</f>
        <v>40.414507772020734</v>
      </c>
      <c r="AB23" s="75" t="str">
        <f>IF(AND(Z23=0,V23=0),0,IF(OR(AND(Z23&gt;0,V23&lt;=0),AND(Z23&lt;0,V23&gt;=0)),"nm",IF(AND(Z23&lt;0,V23&lt;0),IF(-(Z23/V23-1)*100&lt;-100,"(&gt;100)",-(Z23/V23-1)*100),IF((Z23/V23-1)*100&gt;100,"&gt;100",(Z23/V23-1)*100))))</f>
        <v>&gt;100</v>
      </c>
      <c r="AD23" s="75">
        <v>607</v>
      </c>
      <c r="AE23" s="122">
        <v>193</v>
      </c>
      <c r="AF23" s="75">
        <f>IF(AND(AE23=0,AD23=0),0,IF(OR(AND(AE23&gt;0,AD23&lt;=0),AND(AE23&lt;0,AD23&gt;=0)),"nm",IF(AND(AE23&lt;0,AD23&lt;0),IF(-(AE23/AD23-1)*100&lt;-100,"(&gt;100)",-(AE23/AD23-1)*100),IF((AE23/AD23-1)*100&gt;100,"&gt;100",(AE23/AD23-1)*100))))</f>
        <v>-68.20428336079077</v>
      </c>
      <c r="AG23" s="18"/>
      <c r="AH23" s="18"/>
      <c r="AI23" s="18"/>
    </row>
    <row r="24" spans="2:35" ht="15">
      <c r="B24" s="22" t="s">
        <v>164</v>
      </c>
      <c r="C24" s="22"/>
      <c r="D24" s="131">
        <v>746</v>
      </c>
      <c r="E24" s="75">
        <v>1946</v>
      </c>
      <c r="F24" s="75">
        <v>1570</v>
      </c>
      <c r="G24" s="75">
        <v>967</v>
      </c>
      <c r="H24" s="121">
        <v>991</v>
      </c>
      <c r="J24" s="75">
        <v>1042</v>
      </c>
      <c r="K24" s="75">
        <v>1000</v>
      </c>
      <c r="L24" s="75">
        <v>1207</v>
      </c>
      <c r="M24" s="75">
        <v>1946</v>
      </c>
      <c r="N24" s="75">
        <v>1905</v>
      </c>
      <c r="O24" s="75">
        <v>1843</v>
      </c>
      <c r="P24" s="75">
        <v>1329</v>
      </c>
      <c r="Q24" s="75">
        <v>1570</v>
      </c>
      <c r="R24" s="75">
        <v>1499</v>
      </c>
      <c r="S24" s="75">
        <v>936</v>
      </c>
      <c r="T24" s="75">
        <v>957</v>
      </c>
      <c r="U24" s="75">
        <v>967</v>
      </c>
      <c r="V24" s="75">
        <v>1448</v>
      </c>
      <c r="W24" s="75">
        <v>1326</v>
      </c>
      <c r="X24" s="75">
        <v>1359</v>
      </c>
      <c r="Y24" s="75">
        <v>991</v>
      </c>
      <c r="Z24" s="122">
        <v>930</v>
      </c>
      <c r="AA24" s="75">
        <f>IF(AND(Z24=0,Y24=0),0,IF(OR(AND(Z24&gt;0,Y24&lt;=0),AND(Z24&lt;0,Y24&gt;=0)),"nm",IF(AND(Z24&lt;0,Y24&lt;0),IF(-(Z24/Y24-1)*100&lt;-100,"(&gt;100)",-(Z24/Y24-1)*100),IF((Z24/Y24-1)*100&gt;100,"&gt;100",(Z24/Y24-1)*100))))</f>
        <v>-6.155398587285566</v>
      </c>
      <c r="AB24" s="75">
        <f>IF(AND(Z24=0,V24=0),0,IF(OR(AND(Z24&gt;0,V24&lt;=0),AND(Z24&lt;0,V24&gt;=0)),"nm",IF(AND(Z24&lt;0,V24&lt;0),IF(-(Z24/V24-1)*100&lt;-100,"(&gt;100)",-(Z24/V24-1)*100),IF((Z24/V24-1)*100&gt;100,"&gt;100",(Z24/V24-1)*100))))</f>
        <v>-35.773480662983424</v>
      </c>
      <c r="AD24" s="75">
        <v>967</v>
      </c>
      <c r="AE24" s="122">
        <v>991</v>
      </c>
      <c r="AF24" s="75">
        <f>IF(AND(AE24=0,AD24=0),0,IF(OR(AND(AE24&gt;0,AD24&lt;=0),AND(AE24&lt;0,AD24&gt;=0)),"nm",IF(AND(AE24&lt;0,AD24&lt;0),IF(-(AE24/AD24-1)*100&lt;-100,"(&gt;100)",-(AE24/AD24-1)*100),IF((AE24/AD24-1)*100&gt;100,"&gt;100",(AE24/AD24-1)*100))))</f>
        <v>2.4819027921406445</v>
      </c>
      <c r="AG24" s="18"/>
      <c r="AH24" s="18"/>
      <c r="AI24" s="18"/>
    </row>
    <row r="25" spans="3:35" ht="15">
      <c r="C25" s="22"/>
      <c r="D25" s="131"/>
      <c r="H25" s="121"/>
      <c r="Z25" s="477"/>
      <c r="AE25" s="122"/>
      <c r="AG25" s="17"/>
      <c r="AH25" s="18"/>
      <c r="AI25" s="18"/>
    </row>
    <row r="26" spans="1:32" s="18" customFormat="1" ht="15">
      <c r="A26" s="18" t="s">
        <v>201</v>
      </c>
      <c r="D26" s="104">
        <v>319</v>
      </c>
      <c r="E26" s="17">
        <v>533</v>
      </c>
      <c r="F26" s="17">
        <v>616</v>
      </c>
      <c r="G26" s="17">
        <v>990</v>
      </c>
      <c r="H26" s="17">
        <v>1387</v>
      </c>
      <c r="I26" s="17"/>
      <c r="J26" s="17">
        <v>387</v>
      </c>
      <c r="K26" s="17">
        <v>693</v>
      </c>
      <c r="L26" s="17">
        <v>552</v>
      </c>
      <c r="M26" s="17">
        <v>533</v>
      </c>
      <c r="N26" s="17">
        <v>542</v>
      </c>
      <c r="O26" s="17">
        <v>536</v>
      </c>
      <c r="P26" s="17">
        <v>670</v>
      </c>
      <c r="Q26" s="17">
        <v>616</v>
      </c>
      <c r="R26" s="17">
        <v>582</v>
      </c>
      <c r="S26" s="17">
        <v>1101</v>
      </c>
      <c r="T26" s="17">
        <v>987</v>
      </c>
      <c r="U26" s="17">
        <v>990</v>
      </c>
      <c r="V26" s="17">
        <v>994</v>
      </c>
      <c r="W26" s="17">
        <v>994</v>
      </c>
      <c r="X26" s="17">
        <v>954</v>
      </c>
      <c r="Y26" s="17">
        <v>1387</v>
      </c>
      <c r="Z26" s="125">
        <f>SUM(Z28:Z30)</f>
        <v>1376</v>
      </c>
      <c r="AA26" s="17">
        <f>IF(AND(Z26=0,Y26=0),0,IF(OR(AND(Z26&gt;0,Y26&lt;=0),AND(Z26&lt;0,Y26&gt;=0)),"nm",IF(AND(Z26&lt;0,Y26&lt;0),IF(-(Z26/Y26-1)*100&lt;-100,"(&gt;100)",-(Z26/Y26-1)*100),IF((Z26/Y26-1)*100&gt;100,"&gt;100",(Z26/Y26-1)*100))))</f>
        <v>-0.7930785868781598</v>
      </c>
      <c r="AB26" s="17">
        <f>IF(AND(Z26=0,V26=0),0,IF(OR(AND(Z26&gt;0,V26&lt;=0),AND(Z26&lt;0,V26&gt;=0)),"nm",IF(AND(Z26&lt;0,V26&lt;0),IF(-(Z26/V26-1)*100&lt;-100,"(&gt;100)",-(Z26/V26-1)*100),IF((Z26/V26-1)*100&gt;100,"&gt;100",(Z26/V26-1)*100))))</f>
        <v>38.43058350100603</v>
      </c>
      <c r="AC26" s="15"/>
      <c r="AD26" s="17">
        <v>990</v>
      </c>
      <c r="AE26" s="125">
        <f>SUM(AE28:AE30)</f>
        <v>1387</v>
      </c>
      <c r="AF26" s="17">
        <f>IF(AND(AE26=0,AD26=0),0,IF(OR(AND(AE26&gt;0,AD26&lt;=0),AND(AE26&lt;0,AD26&gt;=0)),"nm",IF(AND(AE26&lt;0,AD26&lt;0),IF(-(AE26/AD26-1)*100&lt;-100,"(&gt;100)",-(AE26/AD26-1)*100),IF((AE26/AD26-1)*100&gt;100,"&gt;100",(AE26/AD26-1)*100))))</f>
        <v>40.101010101010104</v>
      </c>
    </row>
    <row r="27" spans="1:35" ht="15">
      <c r="A27" s="58" t="s">
        <v>148</v>
      </c>
      <c r="C27" s="22"/>
      <c r="D27" s="131"/>
      <c r="H27" s="121"/>
      <c r="Z27" s="122"/>
      <c r="AE27" s="122"/>
      <c r="AG27" s="18"/>
      <c r="AH27" s="18"/>
      <c r="AI27" s="18"/>
    </row>
    <row r="28" spans="1:35" ht="15">
      <c r="A28" s="18"/>
      <c r="B28" s="22" t="s">
        <v>149</v>
      </c>
      <c r="C28" s="22"/>
      <c r="D28" s="131">
        <v>213</v>
      </c>
      <c r="E28" s="75">
        <v>389</v>
      </c>
      <c r="F28" s="75">
        <v>443</v>
      </c>
      <c r="G28" s="75">
        <v>835</v>
      </c>
      <c r="H28" s="121">
        <v>888</v>
      </c>
      <c r="J28" s="75">
        <v>282</v>
      </c>
      <c r="K28" s="75">
        <v>467</v>
      </c>
      <c r="L28" s="75">
        <v>440</v>
      </c>
      <c r="M28" s="75">
        <v>389</v>
      </c>
      <c r="N28" s="75">
        <v>402</v>
      </c>
      <c r="O28" s="75">
        <v>385</v>
      </c>
      <c r="P28" s="75">
        <v>422</v>
      </c>
      <c r="Q28" s="75">
        <v>443</v>
      </c>
      <c r="R28" s="75">
        <v>443</v>
      </c>
      <c r="S28" s="75">
        <v>951</v>
      </c>
      <c r="T28" s="75">
        <v>862</v>
      </c>
      <c r="U28" s="75">
        <v>835</v>
      </c>
      <c r="V28" s="75">
        <v>842</v>
      </c>
      <c r="W28" s="75">
        <v>847</v>
      </c>
      <c r="X28" s="75">
        <v>805</v>
      </c>
      <c r="Y28" s="75">
        <v>888</v>
      </c>
      <c r="Z28" s="122">
        <v>881</v>
      </c>
      <c r="AA28" s="75">
        <f>IF(AND(Z28=0,Y28=0),0,IF(OR(AND(Z28&gt;0,Y28&lt;=0),AND(Z28&lt;0,Y28&gt;=0)),"nm",IF(AND(Z28&lt;0,Y28&lt;0),IF(-(Z28/Y28-1)*100&lt;-100,"(&gt;100)",-(Z28/Y28-1)*100),IF((Z28/Y28-1)*100&gt;100,"&gt;100",(Z28/Y28-1)*100))))</f>
        <v>-0.7882882882882858</v>
      </c>
      <c r="AB28" s="75">
        <f>IF(AND(Z28=0,V28=0),0,IF(OR(AND(Z28&gt;0,V28&lt;=0),AND(Z28&lt;0,V28&gt;=0)),"nm",IF(AND(Z28&lt;0,V28&lt;0),IF(-(Z28/V28-1)*100&lt;-100,"(&gt;100)",-(Z28/V28-1)*100),IF((Z28/V28-1)*100&gt;100,"&gt;100",(Z28/V28-1)*100))))</f>
        <v>4.631828978622332</v>
      </c>
      <c r="AD28" s="75">
        <v>835</v>
      </c>
      <c r="AE28" s="122">
        <v>888</v>
      </c>
      <c r="AF28" s="75">
        <f>IF(AND(AE28=0,AD28=0),0,IF(OR(AND(AE28&gt;0,AD28&lt;=0),AND(AE28&lt;0,AD28&gt;=0)),"nm",IF(AND(AE28&lt;0,AD28&lt;0),IF(-(AE28/AD28-1)*100&lt;-100,"(&gt;100)",-(AE28/AD28-1)*100),IF((AE28/AD28-1)*100&gt;100,"&gt;100",(AE28/AD28-1)*100))))</f>
        <v>6.347305389221547</v>
      </c>
      <c r="AG28" s="18"/>
      <c r="AH28" s="18"/>
      <c r="AI28" s="18"/>
    </row>
    <row r="29" spans="2:35" ht="15">
      <c r="B29" s="22" t="s">
        <v>150</v>
      </c>
      <c r="C29" s="22"/>
      <c r="D29" s="131">
        <v>57</v>
      </c>
      <c r="E29" s="75">
        <v>90</v>
      </c>
      <c r="F29" s="75">
        <v>145</v>
      </c>
      <c r="G29" s="75">
        <v>120</v>
      </c>
      <c r="H29" s="121">
        <v>223</v>
      </c>
      <c r="J29" s="75">
        <v>61</v>
      </c>
      <c r="K29" s="75">
        <v>169</v>
      </c>
      <c r="L29" s="75">
        <v>68</v>
      </c>
      <c r="M29" s="75">
        <v>90</v>
      </c>
      <c r="N29" s="75">
        <v>106</v>
      </c>
      <c r="O29" s="75">
        <v>116</v>
      </c>
      <c r="P29" s="75">
        <v>218</v>
      </c>
      <c r="Q29" s="75">
        <v>145</v>
      </c>
      <c r="R29" s="75">
        <v>109</v>
      </c>
      <c r="S29" s="75">
        <v>122</v>
      </c>
      <c r="T29" s="75">
        <v>103</v>
      </c>
      <c r="U29" s="75">
        <v>120</v>
      </c>
      <c r="V29" s="75">
        <v>131</v>
      </c>
      <c r="W29" s="75">
        <v>125</v>
      </c>
      <c r="X29" s="75">
        <v>111</v>
      </c>
      <c r="Y29" s="75">
        <v>223</v>
      </c>
      <c r="Z29" s="122">
        <v>224</v>
      </c>
      <c r="AA29" s="75">
        <f>IF(AND(Z29=0,Y29=0),0,IF(OR(AND(Z29&gt;0,Y29&lt;=0),AND(Z29&lt;0,Y29&gt;=0)),"nm",IF(AND(Z29&lt;0,Y29&lt;0),IF(-(Z29/Y29-1)*100&lt;-100,"(&gt;100)",-(Z29/Y29-1)*100),IF((Z29/Y29-1)*100&gt;100,"&gt;100",(Z29/Y29-1)*100))))</f>
        <v>0.4484304932735439</v>
      </c>
      <c r="AB29" s="75">
        <f>IF(AND(Z29=0,V29=0),0,IF(OR(AND(Z29&gt;0,V29&lt;=0),AND(Z29&lt;0,V29&gt;=0)),"nm",IF(AND(Z29&lt;0,V29&lt;0),IF(-(Z29/V29-1)*100&lt;-100,"(&gt;100)",-(Z29/V29-1)*100),IF((Z29/V29-1)*100&gt;100,"&gt;100",(Z29/V29-1)*100))))</f>
        <v>70.99236641221374</v>
      </c>
      <c r="AD29" s="75">
        <v>120</v>
      </c>
      <c r="AE29" s="122">
        <v>223</v>
      </c>
      <c r="AF29" s="75">
        <f>IF(AND(AE29=0,AD29=0),0,IF(OR(AND(AE29&gt;0,AD29&lt;=0),AND(AE29&lt;0,AD29&gt;=0)),"nm",IF(AND(AE29&lt;0,AD29&lt;0),IF(-(AE29/AD29-1)*100&lt;-100,"(&gt;100)",-(AE29/AD29-1)*100),IF((AE29/AD29-1)*100&gt;100,"&gt;100",(AE29/AD29-1)*100))))</f>
        <v>85.83333333333334</v>
      </c>
      <c r="AG29" s="18"/>
      <c r="AH29" s="18"/>
      <c r="AI29" s="18"/>
    </row>
    <row r="30" spans="2:35" ht="15">
      <c r="B30" s="22" t="s">
        <v>151</v>
      </c>
      <c r="C30" s="6"/>
      <c r="D30" s="131">
        <v>49</v>
      </c>
      <c r="E30" s="75">
        <v>54</v>
      </c>
      <c r="F30" s="75">
        <v>28</v>
      </c>
      <c r="G30" s="75">
        <v>35</v>
      </c>
      <c r="H30" s="121">
        <v>276</v>
      </c>
      <c r="J30" s="75">
        <v>44</v>
      </c>
      <c r="K30" s="75">
        <v>57</v>
      </c>
      <c r="L30" s="75">
        <v>44</v>
      </c>
      <c r="M30" s="75">
        <v>54</v>
      </c>
      <c r="N30" s="75">
        <v>34</v>
      </c>
      <c r="O30" s="75">
        <v>35</v>
      </c>
      <c r="P30" s="75">
        <v>30</v>
      </c>
      <c r="Q30" s="75">
        <v>28</v>
      </c>
      <c r="R30" s="75">
        <v>30</v>
      </c>
      <c r="S30" s="75">
        <v>28</v>
      </c>
      <c r="T30" s="75">
        <v>22</v>
      </c>
      <c r="U30" s="75">
        <v>35</v>
      </c>
      <c r="V30" s="75">
        <v>21</v>
      </c>
      <c r="W30" s="75">
        <v>22</v>
      </c>
      <c r="X30" s="75">
        <v>38</v>
      </c>
      <c r="Y30" s="75">
        <v>276</v>
      </c>
      <c r="Z30" s="122">
        <v>271</v>
      </c>
      <c r="AA30" s="75">
        <f>IF(AND(Z30=0,Y30=0),0,IF(OR(AND(Z30&gt;0,Y30&lt;=0),AND(Z30&lt;0,Y30&gt;=0)),"nm",IF(AND(Z30&lt;0,Y30&lt;0),IF(-(Z30/Y30-1)*100&lt;-100,"(&gt;100)",-(Z30/Y30-1)*100),IF((Z30/Y30-1)*100&gt;100,"&gt;100",(Z30/Y30-1)*100))))</f>
        <v>-1.8115942028985477</v>
      </c>
      <c r="AB30" s="75" t="str">
        <f>IF(AND(Z30=0,V30=0),0,IF(OR(AND(Z30&gt;0,V30&lt;=0),AND(Z30&lt;0,V30&gt;=0)),"nm",IF(AND(Z30&lt;0,V30&lt;0),IF(-(Z30/V30-1)*100&lt;-100,"(&gt;100)",-(Z30/V30-1)*100),IF((Z30/V30-1)*100&gt;100,"&gt;100",(Z30/V30-1)*100))))</f>
        <v>&gt;100</v>
      </c>
      <c r="AD30" s="75">
        <v>35</v>
      </c>
      <c r="AE30" s="122">
        <v>276</v>
      </c>
      <c r="AF30" s="75" t="str">
        <f>IF(AND(AE30=0,AD30=0),0,IF(OR(AND(AE30&gt;0,AD30&lt;=0),AND(AE30&lt;0,AD30&gt;=0)),"nm",IF(AND(AE30&lt;0,AD30&lt;0),IF(-(AE30/AD30-1)*100&lt;-100,"(&gt;100)",-(AE30/AD30-1)*100),IF((AE30/AD30-1)*100&gt;100,"&gt;100",(AE30/AD30-1)*100))))</f>
        <v>&gt;100</v>
      </c>
      <c r="AG30" s="18"/>
      <c r="AH30" s="18"/>
      <c r="AI30" s="18"/>
    </row>
    <row r="31" spans="3:35" ht="15">
      <c r="C31" s="6"/>
      <c r="D31" s="131"/>
      <c r="H31" s="121"/>
      <c r="Z31" s="477"/>
      <c r="AE31" s="122"/>
      <c r="AG31" s="18"/>
      <c r="AH31" s="18"/>
      <c r="AI31" s="18"/>
    </row>
    <row r="32" spans="1:35" ht="15">
      <c r="A32" s="46" t="s">
        <v>202</v>
      </c>
      <c r="C32" s="6"/>
      <c r="D32" s="131"/>
      <c r="H32" s="121"/>
      <c r="Z32" s="477"/>
      <c r="AE32" s="122"/>
      <c r="AG32" s="18"/>
      <c r="AH32" s="18"/>
      <c r="AI32" s="18"/>
    </row>
    <row r="33" spans="1:32" s="18" customFormat="1" ht="15">
      <c r="A33" s="18" t="s">
        <v>158</v>
      </c>
      <c r="B33" s="7"/>
      <c r="D33" s="104">
        <v>1958</v>
      </c>
      <c r="E33" s="17">
        <v>3876</v>
      </c>
      <c r="F33" s="17">
        <v>2878</v>
      </c>
      <c r="G33" s="17">
        <v>2639</v>
      </c>
      <c r="H33" s="17">
        <v>2627</v>
      </c>
      <c r="I33" s="17"/>
      <c r="J33" s="17">
        <v>2721</v>
      </c>
      <c r="K33" s="17">
        <v>3692</v>
      </c>
      <c r="L33" s="17">
        <v>3419</v>
      </c>
      <c r="M33" s="17">
        <v>3876</v>
      </c>
      <c r="N33" s="17">
        <v>3764</v>
      </c>
      <c r="O33" s="17">
        <v>3431</v>
      </c>
      <c r="P33" s="17">
        <v>3171</v>
      </c>
      <c r="Q33" s="17">
        <v>2878</v>
      </c>
      <c r="R33" s="17">
        <v>2806</v>
      </c>
      <c r="S33" s="17">
        <v>2597</v>
      </c>
      <c r="T33" s="17">
        <v>2511</v>
      </c>
      <c r="U33" s="17">
        <v>2639</v>
      </c>
      <c r="V33" s="17">
        <v>2648</v>
      </c>
      <c r="W33" s="17">
        <v>2761</v>
      </c>
      <c r="X33" s="17">
        <v>2649</v>
      </c>
      <c r="Y33" s="17">
        <v>2627</v>
      </c>
      <c r="Z33" s="125">
        <f>+Z6</f>
        <v>2670</v>
      </c>
      <c r="AA33" s="320">
        <f>IF(AND(Z33=0,Y33=0),0,IF(OR(AND(Z33&gt;0,Y33&lt;=0),AND(Z33&lt;0,Y33&gt;=0)),"nm",IF(AND(Z33&lt;0,Y33&lt;0),IF(-(Z33/Y33-1)*100&lt;-100,"(&gt;100)",-(Z33/Y33-1)*100),IF((Z33/Y33-1)*100&gt;100,"&gt;100",(Z33/Y33-1)*100))))</f>
        <v>1.6368481157213566</v>
      </c>
      <c r="AB33" s="320">
        <f>IF(AND(Z33=0,V33=0),0,IF(OR(AND(Z33&gt;0,V33&lt;=0),AND(Z33&lt;0,V33&gt;=0)),"nm",IF(AND(Z33&lt;0,V33&lt;0),IF(-(Z33/V33-1)*100&lt;-100,"(&gt;100)",-(Z33/V33-1)*100),IF((Z33/V33-1)*100&gt;100,"&gt;100",(Z33/V33-1)*100))))</f>
        <v>0.8308157099697899</v>
      </c>
      <c r="AC33" s="321"/>
      <c r="AD33" s="320">
        <v>2639</v>
      </c>
      <c r="AE33" s="125">
        <f>+AE6</f>
        <v>2627</v>
      </c>
      <c r="AF33" s="17">
        <f>IF(AND(AE33=0,AD33=0),0,IF(OR(AND(AE33&gt;0,AD33&lt;=0),AND(AE33&lt;0,AD33&gt;=0)),"nm",IF(AND(AE33&lt;0,AD33&lt;0),IF(-(AE33/AD33-1)*100&lt;-100,"(&gt;100)",-(AE33/AD33-1)*100),IF((AE33/AD33-1)*100&gt;100,"&gt;100",(AE33/AD33-1)*100))))</f>
        <v>-0.45471769609700674</v>
      </c>
    </row>
    <row r="34" spans="1:35" ht="15">
      <c r="A34" s="49" t="s">
        <v>82</v>
      </c>
      <c r="D34" s="131"/>
      <c r="H34" s="121"/>
      <c r="Z34" s="122"/>
      <c r="AA34" s="265"/>
      <c r="AB34" s="265"/>
      <c r="AC34" s="322"/>
      <c r="AD34" s="265"/>
      <c r="AE34" s="122"/>
      <c r="AG34" s="18"/>
      <c r="AH34" s="18"/>
      <c r="AI34" s="18"/>
    </row>
    <row r="35" spans="1:35" ht="15">
      <c r="A35" s="28"/>
      <c r="B35" s="22" t="s">
        <v>382</v>
      </c>
      <c r="D35" s="131">
        <v>474</v>
      </c>
      <c r="E35" s="75">
        <v>513</v>
      </c>
      <c r="F35" s="75">
        <v>317</v>
      </c>
      <c r="G35" s="75">
        <v>303</v>
      </c>
      <c r="H35" s="121">
        <v>288</v>
      </c>
      <c r="J35" s="75">
        <v>615</v>
      </c>
      <c r="K35" s="75">
        <v>681</v>
      </c>
      <c r="L35" s="75">
        <v>635</v>
      </c>
      <c r="M35" s="75">
        <v>513</v>
      </c>
      <c r="N35" s="75">
        <v>496</v>
      </c>
      <c r="O35" s="75">
        <v>396</v>
      </c>
      <c r="P35" s="75">
        <v>377</v>
      </c>
      <c r="Q35" s="75">
        <v>317</v>
      </c>
      <c r="R35" s="75">
        <v>312</v>
      </c>
      <c r="S35" s="75">
        <v>302</v>
      </c>
      <c r="T35" s="75">
        <v>293</v>
      </c>
      <c r="U35" s="75">
        <v>303</v>
      </c>
      <c r="V35" s="75">
        <v>303</v>
      </c>
      <c r="W35" s="75">
        <v>301</v>
      </c>
      <c r="X35" s="75">
        <v>302</v>
      </c>
      <c r="Y35" s="75">
        <v>288</v>
      </c>
      <c r="Z35" s="122">
        <v>300</v>
      </c>
      <c r="AA35" s="265">
        <f>IF(AND(Z35=0,Y35=0),0,IF(OR(AND(Z35&gt;0,Y35&lt;=0),AND(Z35&lt;0,Y35&gt;=0)),"nm",IF(AND(Z35&lt;0,Y35&lt;0),IF(-(Z35/Y35-1)*100&lt;-100,"(&gt;100)",-(Z35/Y35-1)*100),IF((Z35/Y35-1)*100&gt;100,"&gt;100",(Z35/Y35-1)*100))))</f>
        <v>4.166666666666674</v>
      </c>
      <c r="AB35" s="265">
        <f>IF(AND(Z35=0,V35=0),0,IF(OR(AND(Z35&gt;0,V35&lt;=0),AND(Z35&lt;0,V35&gt;=0)),"nm",IF(AND(Z35&lt;0,V35&lt;0),IF(-(Z35/V35-1)*100&lt;-100,"(&gt;100)",-(Z35/V35-1)*100),IF((Z35/V35-1)*100&gt;100,"&gt;100",(Z35/V35-1)*100))))</f>
        <v>-0.990099009900991</v>
      </c>
      <c r="AC35" s="322"/>
      <c r="AD35" s="265">
        <v>303</v>
      </c>
      <c r="AE35" s="122">
        <v>288</v>
      </c>
      <c r="AF35" s="75">
        <f>IF(AND(AE35=0,AD35=0),0,IF(OR(AND(AE35&gt;0,AD35&lt;=0),AND(AE35&lt;0,AD35&gt;=0)),"nm",IF(AND(AE35&lt;0,AD35&lt;0),IF(-(AE35/AD35-1)*100&lt;-100,"(&gt;100)",-(AE35/AD35-1)*100),IF((AE35/AD35-1)*100&gt;100,"&gt;100",(AE35/AD35-1)*100))))</f>
        <v>-4.950495049504955</v>
      </c>
      <c r="AG35" s="18"/>
      <c r="AH35" s="18"/>
      <c r="AI35" s="18"/>
    </row>
    <row r="36" spans="1:35" ht="14.25" customHeight="1">
      <c r="A36" s="28"/>
      <c r="B36" s="22" t="s">
        <v>332</v>
      </c>
      <c r="D36" s="131">
        <v>1484</v>
      </c>
      <c r="E36" s="75">
        <v>3363</v>
      </c>
      <c r="F36" s="75">
        <v>2561</v>
      </c>
      <c r="G36" s="75">
        <v>2336</v>
      </c>
      <c r="H36" s="121">
        <v>2339</v>
      </c>
      <c r="J36" s="75">
        <v>2106</v>
      </c>
      <c r="K36" s="75">
        <v>3011</v>
      </c>
      <c r="L36" s="75">
        <v>2784</v>
      </c>
      <c r="M36" s="75">
        <v>3363</v>
      </c>
      <c r="N36" s="75">
        <v>3268</v>
      </c>
      <c r="O36" s="75">
        <v>3035</v>
      </c>
      <c r="P36" s="75">
        <v>2794</v>
      </c>
      <c r="Q36" s="75">
        <v>2561</v>
      </c>
      <c r="R36" s="75">
        <v>2494</v>
      </c>
      <c r="S36" s="75">
        <v>2295</v>
      </c>
      <c r="T36" s="75">
        <v>2218</v>
      </c>
      <c r="U36" s="75">
        <v>2336</v>
      </c>
      <c r="V36" s="75">
        <v>2345</v>
      </c>
      <c r="W36" s="75">
        <v>2460</v>
      </c>
      <c r="X36" s="75">
        <v>2347</v>
      </c>
      <c r="Y36" s="75">
        <v>2339</v>
      </c>
      <c r="Z36" s="122">
        <v>2370</v>
      </c>
      <c r="AA36" s="265">
        <f>IF(AND(Z36=0,Y36=0),0,IF(OR(AND(Z36&gt;0,Y36&lt;=0),AND(Z36&lt;0,Y36&gt;=0)),"nm",IF(AND(Z36&lt;0,Y36&lt;0),IF(-(Z36/Y36-1)*100&lt;-100,"(&gt;100)",-(Z36/Y36-1)*100),IF((Z36/Y36-1)*100&gt;100,"&gt;100",(Z36/Y36-1)*100))))</f>
        <v>1.3253527148354038</v>
      </c>
      <c r="AB36" s="265">
        <f>IF(AND(Z36=0,V36=0),0,IF(OR(AND(Z36&gt;0,V36&lt;=0),AND(Z36&lt;0,V36&gt;=0)),"nm",IF(AND(Z36&lt;0,V36&lt;0),IF(-(Z36/V36-1)*100&lt;-100,"(&gt;100)",-(Z36/V36-1)*100),IF((Z36/V36-1)*100&gt;100,"&gt;100",(Z36/V36-1)*100))))</f>
        <v>1.0660980810234477</v>
      </c>
      <c r="AC36" s="322"/>
      <c r="AD36" s="265">
        <v>2336</v>
      </c>
      <c r="AE36" s="122">
        <v>2339</v>
      </c>
      <c r="AF36" s="75">
        <f>IF(AND(AE36=0,AD36=0),0,IF(OR(AND(AE36&gt;0,AD36&lt;=0),AND(AE36&lt;0,AD36&gt;=0)),"nm",IF(AND(AE36&lt;0,AD36&lt;0),IF(-(AE36/AD36-1)*100&lt;-100,"(&gt;100)",-(AE36/AD36-1)*100),IF((AE36/AD36-1)*100&gt;100,"&gt;100",(AE36/AD36-1)*100))))</f>
        <v>0.12842465753424293</v>
      </c>
      <c r="AG36" s="18"/>
      <c r="AH36" s="18"/>
      <c r="AI36" s="18"/>
    </row>
    <row r="37" spans="1:35" ht="2.25" customHeight="1" hidden="1">
      <c r="A37" s="29"/>
      <c r="B37" s="158"/>
      <c r="D37" s="159"/>
      <c r="H37" s="121"/>
      <c r="Z37" s="122"/>
      <c r="AE37" s="122"/>
      <c r="AG37" s="18"/>
      <c r="AH37" s="18"/>
      <c r="AI37" s="18"/>
    </row>
    <row r="38" spans="1:32" s="18" customFormat="1" ht="15">
      <c r="A38" s="58" t="s">
        <v>81</v>
      </c>
      <c r="D38" s="104"/>
      <c r="E38" s="17"/>
      <c r="F38" s="17"/>
      <c r="G38" s="17"/>
      <c r="H38" s="17"/>
      <c r="I38" s="17"/>
      <c r="J38" s="17"/>
      <c r="K38" s="17"/>
      <c r="L38" s="17"/>
      <c r="M38" s="17"/>
      <c r="N38" s="17"/>
      <c r="O38" s="17"/>
      <c r="P38" s="17"/>
      <c r="Q38" s="17"/>
      <c r="R38" s="17"/>
      <c r="S38" s="17"/>
      <c r="T38" s="17"/>
      <c r="U38" s="17"/>
      <c r="V38" s="17"/>
      <c r="W38" s="17"/>
      <c r="X38" s="17"/>
      <c r="Y38" s="17"/>
      <c r="Z38" s="125"/>
      <c r="AA38" s="17"/>
      <c r="AB38" s="17"/>
      <c r="AC38" s="15"/>
      <c r="AD38" s="17"/>
      <c r="AE38" s="125"/>
      <c r="AF38" s="17"/>
    </row>
    <row r="39" spans="1:35" ht="15">
      <c r="A39" s="29"/>
      <c r="B39" s="10" t="s">
        <v>48</v>
      </c>
      <c r="D39" s="131">
        <v>678</v>
      </c>
      <c r="E39" s="75">
        <v>731</v>
      </c>
      <c r="F39" s="75">
        <v>594</v>
      </c>
      <c r="G39" s="75">
        <v>528</v>
      </c>
      <c r="H39" s="121">
        <v>410</v>
      </c>
      <c r="J39" s="75">
        <v>747</v>
      </c>
      <c r="K39" s="75">
        <v>803</v>
      </c>
      <c r="L39" s="75">
        <v>773</v>
      </c>
      <c r="M39" s="75">
        <v>731</v>
      </c>
      <c r="N39" s="75">
        <v>700</v>
      </c>
      <c r="O39" s="75">
        <v>648</v>
      </c>
      <c r="P39" s="75">
        <v>635</v>
      </c>
      <c r="Q39" s="75">
        <v>594</v>
      </c>
      <c r="R39" s="75">
        <v>571</v>
      </c>
      <c r="S39" s="75">
        <v>512</v>
      </c>
      <c r="T39" s="75">
        <v>405</v>
      </c>
      <c r="U39" s="75">
        <v>528</v>
      </c>
      <c r="V39" s="75">
        <v>584</v>
      </c>
      <c r="W39" s="75">
        <v>594</v>
      </c>
      <c r="X39" s="75">
        <v>561</v>
      </c>
      <c r="Y39" s="75">
        <v>410</v>
      </c>
      <c r="Z39" s="122">
        <v>405</v>
      </c>
      <c r="AA39" s="75">
        <f>IF(AND(Z39=0,Y39=0),0,IF(OR(AND(Z39&gt;0,Y39&lt;=0),AND(Z39&lt;0,Y39&gt;=0)),"nm",IF(AND(Z39&lt;0,Y39&lt;0),IF(-(Z39/Y39-1)*100&lt;-100,"(&gt;100)",-(Z39/Y39-1)*100),IF((Z39/Y39-1)*100&gt;100,"&gt;100",(Z39/Y39-1)*100))))</f>
        <v>-1.2195121951219523</v>
      </c>
      <c r="AB39" s="75">
        <f>IF(AND(Z39=0,V39=0),0,IF(OR(AND(Z39&gt;0,V39&lt;=0),AND(Z39&lt;0,V39&gt;=0)),"nm",IF(AND(Z39&lt;0,V39&lt;0),IF(-(Z39/V39-1)*100&lt;-100,"(&gt;100)",-(Z39/V39-1)*100),IF((Z39/V39-1)*100&gt;100,"&gt;100",(Z39/V39-1)*100))))</f>
        <v>-30.650684931506845</v>
      </c>
      <c r="AD39" s="75">
        <v>528</v>
      </c>
      <c r="AE39" s="122">
        <v>410</v>
      </c>
      <c r="AF39" s="75">
        <f>IF(AND(AE39=0,AD39=0),0,IF(OR(AND(AE39&gt;0,AD39&lt;=0),AND(AE39&lt;0,AD39&gt;=0)),"nm",IF(AND(AE39&lt;0,AD39&lt;0),IF(-(AE39/AD39-1)*100&lt;-100,"(&gt;100)",-(AE39/AD39-1)*100),IF((AE39/AD39-1)*100&gt;100,"&gt;100",(AE39/AD39-1)*100))))</f>
        <v>-22.34848484848485</v>
      </c>
      <c r="AG39" s="18"/>
      <c r="AH39" s="18"/>
      <c r="AI39" s="18"/>
    </row>
    <row r="40" spans="1:35" ht="15">
      <c r="A40" s="29"/>
      <c r="B40" s="77" t="s">
        <v>49</v>
      </c>
      <c r="D40" s="131">
        <v>587</v>
      </c>
      <c r="E40" s="75">
        <v>567</v>
      </c>
      <c r="F40" s="75">
        <v>359</v>
      </c>
      <c r="G40" s="75">
        <v>334</v>
      </c>
      <c r="H40" s="121">
        <v>244</v>
      </c>
      <c r="J40" s="75">
        <v>860</v>
      </c>
      <c r="K40" s="75">
        <v>769</v>
      </c>
      <c r="L40" s="75">
        <v>650</v>
      </c>
      <c r="M40" s="75">
        <v>567</v>
      </c>
      <c r="N40" s="75">
        <v>540</v>
      </c>
      <c r="O40" s="75">
        <v>442</v>
      </c>
      <c r="P40" s="75">
        <v>377</v>
      </c>
      <c r="Q40" s="75">
        <v>359</v>
      </c>
      <c r="R40" s="75">
        <v>328</v>
      </c>
      <c r="S40" s="75">
        <v>300</v>
      </c>
      <c r="T40" s="75">
        <v>324</v>
      </c>
      <c r="U40" s="75">
        <v>334</v>
      </c>
      <c r="V40" s="75">
        <v>315</v>
      </c>
      <c r="W40" s="75">
        <v>303</v>
      </c>
      <c r="X40" s="75">
        <v>270</v>
      </c>
      <c r="Y40" s="75">
        <v>244</v>
      </c>
      <c r="Z40" s="122">
        <v>259</v>
      </c>
      <c r="AA40" s="75">
        <f>IF(AND(Z40=0,Y40=0),0,IF(OR(AND(Z40&gt;0,Y40&lt;=0),AND(Z40&lt;0,Y40&gt;=0)),"nm",IF(AND(Z40&lt;0,Y40&lt;0),IF(-(Z40/Y40-1)*100&lt;-100,"(&gt;100)",-(Z40/Y40-1)*100),IF((Z40/Y40-1)*100&gt;100,"&gt;100",(Z40/Y40-1)*100))))</f>
        <v>6.1475409836065475</v>
      </c>
      <c r="AB40" s="75">
        <f>IF(AND(Z40=0,V40=0),0,IF(OR(AND(Z40&gt;0,V40&lt;=0),AND(Z40&lt;0,V40&gt;=0)),"nm",IF(AND(Z40&lt;0,V40&lt;0),IF(-(Z40/V40-1)*100&lt;-100,"(&gt;100)",-(Z40/V40-1)*100),IF((Z40/V40-1)*100&gt;100,"&gt;100",(Z40/V40-1)*100))))</f>
        <v>-17.777777777777782</v>
      </c>
      <c r="AD40" s="75">
        <v>334</v>
      </c>
      <c r="AE40" s="122">
        <v>244</v>
      </c>
      <c r="AF40" s="75">
        <f>IF(AND(AE40=0,AD40=0),0,IF(OR(AND(AE40&gt;0,AD40&lt;=0),AND(AE40&lt;0,AD40&gt;=0)),"nm",IF(AND(AE40&lt;0,AD40&lt;0),IF(-(AE40/AD40-1)*100&lt;-100,"(&gt;100)",-(AE40/AD40-1)*100),IF((AE40/AD40-1)*100&gt;100,"&gt;100",(AE40/AD40-1)*100))))</f>
        <v>-26.94610778443114</v>
      </c>
      <c r="AG40" s="18"/>
      <c r="AH40" s="18"/>
      <c r="AI40" s="18"/>
    </row>
    <row r="41" spans="1:35" ht="15">
      <c r="A41" s="29"/>
      <c r="B41" s="77" t="s">
        <v>76</v>
      </c>
      <c r="D41" s="131">
        <v>457</v>
      </c>
      <c r="E41" s="75">
        <v>352</v>
      </c>
      <c r="F41" s="75">
        <v>250</v>
      </c>
      <c r="G41" s="75">
        <v>237</v>
      </c>
      <c r="H41" s="121">
        <v>232</v>
      </c>
      <c r="J41" s="75">
        <v>494</v>
      </c>
      <c r="K41" s="75">
        <v>441</v>
      </c>
      <c r="L41" s="75">
        <v>376</v>
      </c>
      <c r="M41" s="75">
        <v>352</v>
      </c>
      <c r="N41" s="75">
        <v>361</v>
      </c>
      <c r="O41" s="75">
        <v>316</v>
      </c>
      <c r="P41" s="75">
        <v>270</v>
      </c>
      <c r="Q41" s="75">
        <v>250</v>
      </c>
      <c r="R41" s="75">
        <v>240</v>
      </c>
      <c r="S41" s="75">
        <v>233</v>
      </c>
      <c r="T41" s="75">
        <v>234</v>
      </c>
      <c r="U41" s="75">
        <v>237</v>
      </c>
      <c r="V41" s="75">
        <v>239</v>
      </c>
      <c r="W41" s="75">
        <v>237</v>
      </c>
      <c r="X41" s="75">
        <v>216</v>
      </c>
      <c r="Y41" s="75">
        <v>232</v>
      </c>
      <c r="Z41" s="122">
        <v>236</v>
      </c>
      <c r="AA41" s="75">
        <f>IF(AND(Z41=0,Y41=0),0,IF(OR(AND(Z41&gt;0,Y41&lt;=0),AND(Z41&lt;0,Y41&gt;=0)),"nm",IF(AND(Z41&lt;0,Y41&lt;0),IF(-(Z41/Y41-1)*100&lt;-100,"(&gt;100)",-(Z41/Y41-1)*100),IF((Z41/Y41-1)*100&gt;100,"&gt;100",(Z41/Y41-1)*100))))</f>
        <v>1.724137931034475</v>
      </c>
      <c r="AB41" s="75">
        <f>IF(AND(Z41=0,V41=0),0,IF(OR(AND(Z41&gt;0,V41&lt;=0),AND(Z41&lt;0,V41&gt;=0)),"nm",IF(AND(Z41&lt;0,V41&lt;0),IF(-(Z41/V41-1)*100&lt;-100,"(&gt;100)",-(Z41/V41-1)*100),IF((Z41/V41-1)*100&gt;100,"&gt;100",(Z41/V41-1)*100))))</f>
        <v>-1.2552301255230103</v>
      </c>
      <c r="AD41" s="75">
        <v>237</v>
      </c>
      <c r="AE41" s="122">
        <v>232</v>
      </c>
      <c r="AF41" s="75">
        <f>IF(AND(AE41=0,AD41=0),0,IF(OR(AND(AE41&gt;0,AD41&lt;=0),AND(AE41&lt;0,AD41&gt;=0)),"nm",IF(AND(AE41&lt;0,AD41&lt;0),IF(-(AE41/AD41-1)*100&lt;-100,"(&gt;100)",-(AE41/AD41-1)*100),IF((AE41/AD41-1)*100&gt;100,"&gt;100",(AE41/AD41-1)*100))))</f>
        <v>-2.1097046413502074</v>
      </c>
      <c r="AG41" s="18"/>
      <c r="AH41" s="18"/>
      <c r="AI41" s="18"/>
    </row>
    <row r="42" spans="1:35" ht="15">
      <c r="A42" s="29"/>
      <c r="B42" s="77" t="s">
        <v>93</v>
      </c>
      <c r="D42" s="131">
        <v>133</v>
      </c>
      <c r="E42" s="75">
        <v>157</v>
      </c>
      <c r="F42" s="75">
        <v>164</v>
      </c>
      <c r="G42" s="75">
        <v>180</v>
      </c>
      <c r="H42" s="121">
        <v>207</v>
      </c>
      <c r="J42" s="75">
        <v>184</v>
      </c>
      <c r="K42" s="75">
        <v>250</v>
      </c>
      <c r="L42" s="75">
        <v>174</v>
      </c>
      <c r="M42" s="75">
        <v>157</v>
      </c>
      <c r="N42" s="75">
        <v>149</v>
      </c>
      <c r="O42" s="75">
        <v>138</v>
      </c>
      <c r="P42" s="75">
        <v>146</v>
      </c>
      <c r="Q42" s="75">
        <v>164</v>
      </c>
      <c r="R42" s="75">
        <v>175</v>
      </c>
      <c r="S42" s="75">
        <v>174</v>
      </c>
      <c r="T42" s="75">
        <v>173</v>
      </c>
      <c r="U42" s="75">
        <v>180</v>
      </c>
      <c r="V42" s="75">
        <v>169</v>
      </c>
      <c r="W42" s="75">
        <v>177</v>
      </c>
      <c r="X42" s="75">
        <v>194</v>
      </c>
      <c r="Y42" s="75">
        <v>207</v>
      </c>
      <c r="Z42" s="122">
        <v>293</v>
      </c>
      <c r="AA42" s="75">
        <f>IF(AND(Z42=0,Y42=0),0,IF(OR(AND(Z42&gt;0,Y42&lt;=0),AND(Z42&lt;0,Y42&gt;=0)),"nm",IF(AND(Z42&lt;0,Y42&lt;0),IF(-(Z42/Y42-1)*100&lt;-100,"(&gt;100)",-(Z42/Y42-1)*100),IF((Z42/Y42-1)*100&gt;100,"&gt;100",(Z42/Y42-1)*100))))</f>
        <v>41.54589371980677</v>
      </c>
      <c r="AB42" s="75">
        <f>IF(AND(Z42=0,V42=0),0,IF(OR(AND(Z42&gt;0,V42&lt;=0),AND(Z42&lt;0,V42&gt;=0)),"nm",IF(AND(Z42&lt;0,V42&lt;0),IF(-(Z42/V42-1)*100&lt;-100,"(&gt;100)",-(Z42/V42-1)*100),IF((Z42/V42-1)*100&gt;100,"&gt;100",(Z42/V42-1)*100))))</f>
        <v>73.37278106508876</v>
      </c>
      <c r="AD42" s="75">
        <v>180</v>
      </c>
      <c r="AE42" s="122">
        <v>207</v>
      </c>
      <c r="AF42" s="75">
        <f>IF(AND(AE42=0,AD42=0),0,IF(OR(AND(AE42&gt;0,AD42&lt;=0),AND(AE42&lt;0,AD42&gt;=0)),"nm",IF(AND(AE42&lt;0,AD42&lt;0),IF(-(AE42/AD42-1)*100&lt;-100,"(&gt;100)",-(AE42/AD42-1)*100),IF((AE42/AD42-1)*100&gt;100,"&gt;100",(AE42/AD42-1)*100))))</f>
        <v>14.999999999999991</v>
      </c>
      <c r="AG42" s="18"/>
      <c r="AH42" s="18"/>
      <c r="AI42" s="18"/>
    </row>
    <row r="43" spans="1:35" ht="15">
      <c r="A43" s="29"/>
      <c r="B43" s="77" t="s">
        <v>77</v>
      </c>
      <c r="D43" s="131">
        <v>103</v>
      </c>
      <c r="E43" s="75">
        <v>2069</v>
      </c>
      <c r="F43" s="75">
        <v>1511</v>
      </c>
      <c r="G43" s="75">
        <v>1360</v>
      </c>
      <c r="H43" s="121">
        <v>1534</v>
      </c>
      <c r="J43" s="75">
        <v>436</v>
      </c>
      <c r="K43" s="75">
        <v>1429</v>
      </c>
      <c r="L43" s="75">
        <v>1446</v>
      </c>
      <c r="M43" s="75">
        <v>2069</v>
      </c>
      <c r="N43" s="75">
        <v>2014</v>
      </c>
      <c r="O43" s="75">
        <v>1887</v>
      </c>
      <c r="P43" s="75">
        <v>1743</v>
      </c>
      <c r="Q43" s="75">
        <v>1511</v>
      </c>
      <c r="R43" s="75">
        <v>1492</v>
      </c>
      <c r="S43" s="75">
        <v>1378</v>
      </c>
      <c r="T43" s="75">
        <v>1375</v>
      </c>
      <c r="U43" s="75">
        <v>1360</v>
      </c>
      <c r="V43" s="75">
        <v>1341</v>
      </c>
      <c r="W43" s="75">
        <v>1450</v>
      </c>
      <c r="X43" s="75">
        <v>1408</v>
      </c>
      <c r="Y43" s="75">
        <v>1534</v>
      </c>
      <c r="Z43" s="122">
        <v>1477</v>
      </c>
      <c r="AA43" s="75">
        <f>IF(AND(Z43=0,Y43=0),0,IF(OR(AND(Z43&gt;0,Y43&lt;=0),AND(Z43&lt;0,Y43&gt;=0)),"nm",IF(AND(Z43&lt;0,Y43&lt;0),IF(-(Z43/Y43-1)*100&lt;-100,"(&gt;100)",-(Z43/Y43-1)*100),IF((Z43/Y43-1)*100&gt;100,"&gt;100",(Z43/Y43-1)*100))))</f>
        <v>-3.715775749674055</v>
      </c>
      <c r="AB43" s="75">
        <f>IF(AND(Z43=0,V43=0),0,IF(OR(AND(Z43&gt;0,V43&lt;=0),AND(Z43&lt;0,V43&gt;=0)),"nm",IF(AND(Z43&lt;0,V43&lt;0),IF(-(Z43/V43-1)*100&lt;-100,"(&gt;100)",-(Z43/V43-1)*100),IF((Z43/V43-1)*100&gt;100,"&gt;100",(Z43/V43-1)*100))))</f>
        <v>10.14168530947055</v>
      </c>
      <c r="AD43" s="75">
        <v>1360</v>
      </c>
      <c r="AE43" s="122">
        <v>1534</v>
      </c>
      <c r="AF43" s="75">
        <f>IF(AND(AE43=0,AD43=0),0,IF(OR(AND(AE43&gt;0,AD43&lt;=0),AND(AE43&lt;0,AD43&gt;=0)),"nm",IF(AND(AE43&lt;0,AD43&lt;0),IF(-(AE43/AD43-1)*100&lt;-100,"(&gt;100)",-(AE43/AD43-1)*100),IF((AE43/AD43-1)*100&gt;100,"&gt;100",(AE43/AD43-1)*100))))</f>
        <v>12.794117647058822</v>
      </c>
      <c r="AG43" s="18"/>
      <c r="AH43" s="18"/>
      <c r="AI43" s="18"/>
    </row>
    <row r="44" spans="1:35" ht="15">
      <c r="A44" s="49" t="s">
        <v>89</v>
      </c>
      <c r="D44" s="131"/>
      <c r="H44" s="121"/>
      <c r="Z44" s="477"/>
      <c r="AE44" s="122"/>
      <c r="AG44" s="18"/>
      <c r="AH44" s="18"/>
      <c r="AI44" s="18"/>
    </row>
    <row r="45" spans="1:35" ht="15">
      <c r="A45" s="29"/>
      <c r="B45" s="78" t="s">
        <v>83</v>
      </c>
      <c r="D45" s="131">
        <v>720</v>
      </c>
      <c r="E45" s="75">
        <v>735</v>
      </c>
      <c r="F45" s="75">
        <v>502</v>
      </c>
      <c r="G45" s="75">
        <v>383</v>
      </c>
      <c r="H45" s="121">
        <v>352</v>
      </c>
      <c r="J45" s="75">
        <v>824</v>
      </c>
      <c r="K45" s="75">
        <v>782</v>
      </c>
      <c r="L45" s="75">
        <v>694</v>
      </c>
      <c r="M45" s="75">
        <v>735</v>
      </c>
      <c r="N45" s="75">
        <v>697</v>
      </c>
      <c r="O45" s="75">
        <v>612</v>
      </c>
      <c r="P45" s="75">
        <v>533</v>
      </c>
      <c r="Q45" s="75">
        <v>502</v>
      </c>
      <c r="R45" s="75">
        <v>462</v>
      </c>
      <c r="S45" s="75">
        <v>415</v>
      </c>
      <c r="T45" s="75">
        <v>409</v>
      </c>
      <c r="U45" s="75">
        <v>383</v>
      </c>
      <c r="V45" s="75">
        <v>356</v>
      </c>
      <c r="W45" s="75">
        <v>392</v>
      </c>
      <c r="X45" s="75">
        <v>363</v>
      </c>
      <c r="Y45" s="75">
        <v>352</v>
      </c>
      <c r="Z45" s="122">
        <v>395</v>
      </c>
      <c r="AA45" s="75">
        <f aca="true" t="shared" si="0" ref="AA45:AA52">IF(AND(Z45=0,Y45=0),0,IF(OR(AND(Z45&gt;0,Y45&lt;=0),AND(Z45&lt;0,Y45&gt;=0)),"nm",IF(AND(Z45&lt;0,Y45&lt;0),IF(-(Z45/Y45-1)*100&lt;-100,"(&gt;100)",-(Z45/Y45-1)*100),IF((Z45/Y45-1)*100&gt;100,"&gt;100",(Z45/Y45-1)*100))))</f>
        <v>12.215909090909083</v>
      </c>
      <c r="AB45" s="75">
        <f aca="true" t="shared" si="1" ref="AB45:AB52">IF(AND(Z45=0,V45=0),0,IF(OR(AND(Z45&gt;0,V45&lt;=0),AND(Z45&lt;0,V45&gt;=0)),"nm",IF(AND(Z45&lt;0,V45&lt;0),IF(-(Z45/V45-1)*100&lt;-100,"(&gt;100)",-(Z45/V45-1)*100),IF((Z45/V45-1)*100&gt;100,"&gt;100",(Z45/V45-1)*100))))</f>
        <v>10.95505617977528</v>
      </c>
      <c r="AD45" s="75">
        <v>383</v>
      </c>
      <c r="AE45" s="122">
        <v>352</v>
      </c>
      <c r="AF45" s="75">
        <f aca="true" t="shared" si="2" ref="AF45:AF52">IF(AND(AE45=0,AD45=0),0,IF(OR(AND(AE45&gt;0,AD45&lt;=0),AND(AE45&lt;0,AD45&gt;=0)),"nm",IF(AND(AE45&lt;0,AD45&lt;0),IF(-(AE45/AD45-1)*100&lt;-100,"(&gt;100)",-(AE45/AD45-1)*100),IF((AE45/AD45-1)*100&gt;100,"&gt;100",(AE45/AD45-1)*100))))</f>
        <v>-8.09399477806788</v>
      </c>
      <c r="AG45" s="18"/>
      <c r="AH45" s="18"/>
      <c r="AI45" s="18"/>
    </row>
    <row r="46" spans="2:35" ht="15">
      <c r="B46" s="78" t="s">
        <v>84</v>
      </c>
      <c r="D46" s="131">
        <v>96</v>
      </c>
      <c r="E46" s="75">
        <v>89</v>
      </c>
      <c r="F46" s="75">
        <v>90</v>
      </c>
      <c r="G46" s="75">
        <v>92</v>
      </c>
      <c r="H46" s="121">
        <v>83</v>
      </c>
      <c r="J46" s="75">
        <v>258</v>
      </c>
      <c r="K46" s="75">
        <v>203</v>
      </c>
      <c r="L46" s="75">
        <v>93</v>
      </c>
      <c r="M46" s="75">
        <v>89</v>
      </c>
      <c r="N46" s="75">
        <v>131</v>
      </c>
      <c r="O46" s="75">
        <v>47</v>
      </c>
      <c r="P46" s="75">
        <v>39</v>
      </c>
      <c r="Q46" s="75">
        <v>90</v>
      </c>
      <c r="R46" s="75">
        <v>98</v>
      </c>
      <c r="S46" s="75">
        <v>84</v>
      </c>
      <c r="T46" s="75">
        <v>83</v>
      </c>
      <c r="U46" s="75">
        <v>92</v>
      </c>
      <c r="V46" s="75">
        <v>102</v>
      </c>
      <c r="W46" s="75">
        <v>101</v>
      </c>
      <c r="X46" s="75">
        <v>84</v>
      </c>
      <c r="Y46" s="75">
        <v>83</v>
      </c>
      <c r="Z46" s="122">
        <v>84</v>
      </c>
      <c r="AA46" s="75">
        <f t="shared" si="0"/>
        <v>1.2048192771084265</v>
      </c>
      <c r="AB46" s="75">
        <f t="shared" si="1"/>
        <v>-17.647058823529417</v>
      </c>
      <c r="AD46" s="75">
        <v>92</v>
      </c>
      <c r="AE46" s="122">
        <v>83</v>
      </c>
      <c r="AF46" s="75">
        <f t="shared" si="2"/>
        <v>-9.782608695652172</v>
      </c>
      <c r="AG46" s="18"/>
      <c r="AH46" s="18"/>
      <c r="AI46" s="18"/>
    </row>
    <row r="47" spans="2:35" ht="15">
      <c r="B47" s="78" t="s">
        <v>85</v>
      </c>
      <c r="D47" s="131">
        <v>193</v>
      </c>
      <c r="E47" s="75">
        <v>188</v>
      </c>
      <c r="F47" s="75">
        <v>118</v>
      </c>
      <c r="G47" s="75">
        <v>108</v>
      </c>
      <c r="H47" s="121">
        <v>106</v>
      </c>
      <c r="J47" s="75">
        <v>214</v>
      </c>
      <c r="K47" s="75">
        <v>242</v>
      </c>
      <c r="L47" s="75">
        <v>234</v>
      </c>
      <c r="M47" s="75">
        <v>188</v>
      </c>
      <c r="N47" s="75">
        <v>175</v>
      </c>
      <c r="O47" s="75">
        <v>140</v>
      </c>
      <c r="P47" s="75">
        <v>125</v>
      </c>
      <c r="Q47" s="75">
        <v>118</v>
      </c>
      <c r="R47" s="75">
        <v>115</v>
      </c>
      <c r="S47" s="75">
        <v>107</v>
      </c>
      <c r="T47" s="75">
        <v>103</v>
      </c>
      <c r="U47" s="75">
        <v>108</v>
      </c>
      <c r="V47" s="75">
        <v>105</v>
      </c>
      <c r="W47" s="75">
        <v>104</v>
      </c>
      <c r="X47" s="75">
        <v>103</v>
      </c>
      <c r="Y47" s="75">
        <v>106</v>
      </c>
      <c r="Z47" s="122">
        <v>120</v>
      </c>
      <c r="AA47" s="75">
        <f t="shared" si="0"/>
        <v>13.207547169811317</v>
      </c>
      <c r="AB47" s="75">
        <f t="shared" si="1"/>
        <v>14.28571428571428</v>
      </c>
      <c r="AD47" s="75">
        <v>108</v>
      </c>
      <c r="AE47" s="122">
        <v>106</v>
      </c>
      <c r="AF47" s="75">
        <f t="shared" si="2"/>
        <v>-1.851851851851849</v>
      </c>
      <c r="AG47" s="18"/>
      <c r="AH47" s="18"/>
      <c r="AI47" s="18"/>
    </row>
    <row r="48" spans="2:35" ht="15">
      <c r="B48" s="78" t="s">
        <v>86</v>
      </c>
      <c r="D48" s="131">
        <v>381</v>
      </c>
      <c r="E48" s="75">
        <v>472</v>
      </c>
      <c r="F48" s="75">
        <v>248</v>
      </c>
      <c r="G48" s="75">
        <v>269</v>
      </c>
      <c r="H48" s="121">
        <v>277</v>
      </c>
      <c r="J48" s="75">
        <v>472</v>
      </c>
      <c r="K48" s="75">
        <v>509</v>
      </c>
      <c r="L48" s="75">
        <v>480</v>
      </c>
      <c r="M48" s="75">
        <v>472</v>
      </c>
      <c r="N48" s="75">
        <v>459</v>
      </c>
      <c r="O48" s="75">
        <v>411</v>
      </c>
      <c r="P48" s="75">
        <v>322</v>
      </c>
      <c r="Q48" s="75">
        <v>248</v>
      </c>
      <c r="R48" s="75">
        <v>274</v>
      </c>
      <c r="S48" s="75">
        <v>252</v>
      </c>
      <c r="T48" s="75">
        <v>280</v>
      </c>
      <c r="U48" s="75">
        <v>269</v>
      </c>
      <c r="V48" s="75">
        <v>295</v>
      </c>
      <c r="W48" s="75">
        <v>291</v>
      </c>
      <c r="X48" s="75">
        <v>268</v>
      </c>
      <c r="Y48" s="75">
        <v>277</v>
      </c>
      <c r="Z48" s="122">
        <v>386</v>
      </c>
      <c r="AA48" s="75">
        <f t="shared" si="0"/>
        <v>39.35018050541517</v>
      </c>
      <c r="AB48" s="75">
        <f t="shared" si="1"/>
        <v>30.847457627118647</v>
      </c>
      <c r="AD48" s="75">
        <v>269</v>
      </c>
      <c r="AE48" s="122">
        <v>277</v>
      </c>
      <c r="AF48" s="75">
        <f t="shared" si="2"/>
        <v>2.973977695167296</v>
      </c>
      <c r="AG48" s="18"/>
      <c r="AH48" s="18"/>
      <c r="AI48" s="18"/>
    </row>
    <row r="49" spans="2:35" ht="15">
      <c r="B49" s="78" t="s">
        <v>87</v>
      </c>
      <c r="D49" s="131">
        <v>24</v>
      </c>
      <c r="E49" s="75">
        <v>264</v>
      </c>
      <c r="F49" s="75">
        <v>646</v>
      </c>
      <c r="G49" s="75">
        <v>563</v>
      </c>
      <c r="H49" s="121">
        <v>692</v>
      </c>
      <c r="J49" s="75">
        <v>29</v>
      </c>
      <c r="K49" s="75">
        <v>221</v>
      </c>
      <c r="L49" s="75">
        <v>246</v>
      </c>
      <c r="M49" s="75">
        <v>264</v>
      </c>
      <c r="N49" s="75">
        <v>290</v>
      </c>
      <c r="O49" s="75">
        <v>284</v>
      </c>
      <c r="P49" s="75">
        <v>628</v>
      </c>
      <c r="Q49" s="75">
        <v>646</v>
      </c>
      <c r="R49" s="75">
        <v>630</v>
      </c>
      <c r="S49" s="75">
        <v>575</v>
      </c>
      <c r="T49" s="75">
        <v>434</v>
      </c>
      <c r="U49" s="75">
        <v>563</v>
      </c>
      <c r="V49" s="75">
        <v>1116</v>
      </c>
      <c r="W49" s="121">
        <v>1174</v>
      </c>
      <c r="X49" s="121">
        <v>1167</v>
      </c>
      <c r="Y49" s="75">
        <v>1201</v>
      </c>
      <c r="Z49" s="122">
        <v>1201</v>
      </c>
      <c r="AA49" s="75">
        <f t="shared" si="0"/>
        <v>0</v>
      </c>
      <c r="AB49" s="75">
        <f t="shared" si="1"/>
        <v>7.616487455197141</v>
      </c>
      <c r="AD49" s="75">
        <v>563</v>
      </c>
      <c r="AE49" s="122">
        <v>692</v>
      </c>
      <c r="AF49" s="75">
        <f t="shared" si="2"/>
        <v>22.912966252220258</v>
      </c>
      <c r="AG49" s="18"/>
      <c r="AH49" s="18"/>
      <c r="AI49" s="18"/>
    </row>
    <row r="50" spans="2:35" ht="15">
      <c r="B50" s="78" t="s">
        <v>88</v>
      </c>
      <c r="D50" s="131">
        <v>145</v>
      </c>
      <c r="E50" s="75">
        <v>1738</v>
      </c>
      <c r="F50" s="75">
        <v>960</v>
      </c>
      <c r="G50" s="75">
        <v>930</v>
      </c>
      <c r="H50" s="121">
        <v>913</v>
      </c>
      <c r="J50" s="75">
        <v>433</v>
      </c>
      <c r="K50" s="75">
        <v>1209</v>
      </c>
      <c r="L50" s="75">
        <v>1200</v>
      </c>
      <c r="M50" s="75">
        <v>1738</v>
      </c>
      <c r="N50" s="75">
        <v>1649</v>
      </c>
      <c r="O50" s="75">
        <v>1622</v>
      </c>
      <c r="P50" s="75">
        <v>1200</v>
      </c>
      <c r="Q50" s="75">
        <v>960</v>
      </c>
      <c r="R50" s="75">
        <v>948</v>
      </c>
      <c r="S50" s="75">
        <v>867</v>
      </c>
      <c r="T50" s="75">
        <v>927</v>
      </c>
      <c r="U50" s="75">
        <v>930</v>
      </c>
      <c r="V50" s="75">
        <v>386</v>
      </c>
      <c r="W50" s="121">
        <v>423</v>
      </c>
      <c r="X50" s="121">
        <v>412</v>
      </c>
      <c r="Y50" s="75">
        <v>404</v>
      </c>
      <c r="Z50" s="122">
        <v>291</v>
      </c>
      <c r="AA50" s="75">
        <f t="shared" si="0"/>
        <v>-27.970297029702973</v>
      </c>
      <c r="AB50" s="75">
        <f t="shared" si="1"/>
        <v>-24.61139896373057</v>
      </c>
      <c r="AD50" s="75">
        <v>930</v>
      </c>
      <c r="AE50" s="122">
        <v>913</v>
      </c>
      <c r="AF50" s="75">
        <f t="shared" si="2"/>
        <v>-1.8279569892473146</v>
      </c>
      <c r="AG50" s="18"/>
      <c r="AH50" s="18"/>
      <c r="AI50" s="18"/>
    </row>
    <row r="51" spans="2:35" ht="15">
      <c r="B51" s="78" t="s">
        <v>90</v>
      </c>
      <c r="D51" s="131">
        <v>223</v>
      </c>
      <c r="E51" s="75">
        <v>234</v>
      </c>
      <c r="F51" s="75">
        <v>173</v>
      </c>
      <c r="G51" s="75">
        <v>175</v>
      </c>
      <c r="H51" s="121">
        <v>162</v>
      </c>
      <c r="J51" s="75">
        <v>299</v>
      </c>
      <c r="K51" s="75">
        <v>310</v>
      </c>
      <c r="L51" s="75">
        <v>265</v>
      </c>
      <c r="M51" s="75">
        <v>234</v>
      </c>
      <c r="N51" s="75">
        <v>212</v>
      </c>
      <c r="O51" s="75">
        <v>176</v>
      </c>
      <c r="P51" s="75">
        <v>174</v>
      </c>
      <c r="Q51" s="75">
        <v>173</v>
      </c>
      <c r="R51" s="75">
        <v>179</v>
      </c>
      <c r="S51" s="75">
        <v>180</v>
      </c>
      <c r="T51" s="75">
        <v>169</v>
      </c>
      <c r="U51" s="75">
        <v>175</v>
      </c>
      <c r="V51" s="75">
        <v>172</v>
      </c>
      <c r="W51" s="75">
        <v>176</v>
      </c>
      <c r="X51" s="75">
        <v>174</v>
      </c>
      <c r="Y51" s="75">
        <v>162</v>
      </c>
      <c r="Z51" s="122">
        <v>159</v>
      </c>
      <c r="AA51" s="75">
        <f t="shared" si="0"/>
        <v>-1.851851851851849</v>
      </c>
      <c r="AB51" s="75">
        <f t="shared" si="1"/>
        <v>-7.558139534883724</v>
      </c>
      <c r="AD51" s="75">
        <v>175</v>
      </c>
      <c r="AE51" s="122">
        <v>162</v>
      </c>
      <c r="AF51" s="75">
        <f t="shared" si="2"/>
        <v>-7.428571428571429</v>
      </c>
      <c r="AG51" s="18"/>
      <c r="AH51" s="18"/>
      <c r="AI51" s="18"/>
    </row>
    <row r="52" spans="2:35" ht="15">
      <c r="B52" s="78" t="s">
        <v>35</v>
      </c>
      <c r="D52" s="131">
        <v>176</v>
      </c>
      <c r="E52" s="75">
        <v>156</v>
      </c>
      <c r="F52" s="75">
        <v>141</v>
      </c>
      <c r="G52" s="75">
        <v>119</v>
      </c>
      <c r="H52" s="121">
        <v>42</v>
      </c>
      <c r="J52" s="75">
        <v>192</v>
      </c>
      <c r="K52" s="75">
        <v>216</v>
      </c>
      <c r="L52" s="75">
        <v>207</v>
      </c>
      <c r="M52" s="75">
        <v>156</v>
      </c>
      <c r="N52" s="75">
        <v>151</v>
      </c>
      <c r="O52" s="75">
        <v>139</v>
      </c>
      <c r="P52" s="75">
        <v>150</v>
      </c>
      <c r="Q52" s="75">
        <v>141</v>
      </c>
      <c r="R52" s="75">
        <v>100</v>
      </c>
      <c r="S52" s="75">
        <v>117</v>
      </c>
      <c r="T52" s="75">
        <v>106</v>
      </c>
      <c r="U52" s="75">
        <v>119</v>
      </c>
      <c r="V52" s="75">
        <v>116</v>
      </c>
      <c r="W52" s="75">
        <v>100</v>
      </c>
      <c r="X52" s="75">
        <v>78</v>
      </c>
      <c r="Y52" s="75">
        <v>42</v>
      </c>
      <c r="Z52" s="122">
        <v>34</v>
      </c>
      <c r="AA52" s="75">
        <f t="shared" si="0"/>
        <v>-19.047619047619047</v>
      </c>
      <c r="AB52" s="75">
        <f t="shared" si="1"/>
        <v>-70.6896551724138</v>
      </c>
      <c r="AD52" s="75">
        <v>119</v>
      </c>
      <c r="AE52" s="122">
        <v>42</v>
      </c>
      <c r="AF52" s="75">
        <f t="shared" si="2"/>
        <v>-64.70588235294117</v>
      </c>
      <c r="AG52" s="18"/>
      <c r="AH52" s="18"/>
      <c r="AI52" s="18"/>
    </row>
    <row r="53" spans="4:35" ht="15">
      <c r="D53" s="131"/>
      <c r="H53" s="121"/>
      <c r="Z53" s="477"/>
      <c r="AE53" s="122"/>
      <c r="AG53" s="18"/>
      <c r="AH53" s="18"/>
      <c r="AI53" s="18"/>
    </row>
    <row r="54" spans="1:35" ht="15">
      <c r="A54" s="47" t="s">
        <v>216</v>
      </c>
      <c r="B54" s="24"/>
      <c r="C54" s="24"/>
      <c r="D54" s="131"/>
      <c r="H54" s="121"/>
      <c r="Z54" s="477"/>
      <c r="AE54" s="122"/>
      <c r="AG54" s="18"/>
      <c r="AH54" s="18"/>
      <c r="AI54" s="18"/>
    </row>
    <row r="55" spans="2:32" s="18" customFormat="1" ht="15">
      <c r="B55" s="18" t="s">
        <v>115</v>
      </c>
      <c r="C55" s="89"/>
      <c r="D55" s="104">
        <v>1442</v>
      </c>
      <c r="E55" s="17">
        <v>2392</v>
      </c>
      <c r="F55" s="17">
        <v>4219</v>
      </c>
      <c r="G55" s="17">
        <v>3213</v>
      </c>
      <c r="H55" s="17">
        <v>2904</v>
      </c>
      <c r="I55" s="17"/>
      <c r="J55" s="17">
        <v>2392</v>
      </c>
      <c r="K55" s="17">
        <v>3233</v>
      </c>
      <c r="L55" s="17">
        <v>4051</v>
      </c>
      <c r="M55" s="17">
        <v>3823</v>
      </c>
      <c r="N55" s="17">
        <v>4219</v>
      </c>
      <c r="O55" s="17">
        <v>4068</v>
      </c>
      <c r="P55" s="17">
        <v>3724</v>
      </c>
      <c r="Q55" s="17">
        <v>3505</v>
      </c>
      <c r="R55" s="17">
        <v>3213</v>
      </c>
      <c r="S55" s="17">
        <v>3098</v>
      </c>
      <c r="T55" s="17">
        <v>2883</v>
      </c>
      <c r="U55" s="17">
        <v>2780</v>
      </c>
      <c r="V55" s="17">
        <v>2904</v>
      </c>
      <c r="W55" s="17">
        <v>2908</v>
      </c>
      <c r="X55" s="17">
        <v>2956</v>
      </c>
      <c r="Y55" s="17">
        <v>2835</v>
      </c>
      <c r="Z55" s="125">
        <v>2726</v>
      </c>
      <c r="AA55" s="17">
        <f>IF(AND(Z55=0,Y55=0),0,IF(OR(AND(Z55&gt;0,Y55&lt;=0),AND(Z55&lt;0,Y55&gt;=0)),"nm",IF(AND(Z55&lt;0,Y55&lt;0),IF(-(Z55/Y55-1)*100&lt;-100,"(&gt;100)",-(Z55/Y55-1)*100),IF((Z55/Y55-1)*100&gt;100,"&gt;100",(Z55/Y55-1)*100))))</f>
        <v>-3.84479717813051</v>
      </c>
      <c r="AB55" s="17">
        <f>IF(AND(Z55=0,V55=0),0,IF(OR(AND(Z55&gt;0,V55&lt;=0),AND(Z55&lt;0,V55&gt;=0)),"nm",IF(AND(Z55&lt;0,V55&lt;0),IF(-(Z55/V55-1)*100&lt;-100,"(&gt;100)",-(Z55/V55-1)*100),IF((Z55/V55-1)*100&gt;100,"&gt;100",(Z55/V55-1)*100))))</f>
        <v>-6.129476584022042</v>
      </c>
      <c r="AC55" s="15"/>
      <c r="AD55" s="320">
        <v>3213</v>
      </c>
      <c r="AE55" s="125">
        <v>2904</v>
      </c>
      <c r="AF55" s="17">
        <f>IF(AND(AE55=0,AD55=0),0,IF(OR(AND(AE55&gt;0,AD55&lt;=0),AND(AE55&lt;0,AD55&gt;=0)),"nm",IF(AND(AE55&lt;0,AD55&lt;0),IF(-(AE55/AD55-1)*100&lt;-100,"(&gt;100)",-(AE55/AD55-1)*100),IF((AE55/AD55-1)*100&gt;100,"&gt;100",(AE55/AD55-1)*100))))</f>
        <v>-9.6171802054155</v>
      </c>
    </row>
    <row r="56" spans="2:35" ht="15">
      <c r="B56" s="22" t="s">
        <v>112</v>
      </c>
      <c r="C56" s="90"/>
      <c r="D56" s="131">
        <v>1714</v>
      </c>
      <c r="E56" s="75">
        <v>3372</v>
      </c>
      <c r="F56" s="75">
        <v>1081</v>
      </c>
      <c r="G56" s="75">
        <v>572</v>
      </c>
      <c r="H56" s="121">
        <v>364</v>
      </c>
      <c r="J56" s="75">
        <v>926</v>
      </c>
      <c r="K56" s="75">
        <v>1451</v>
      </c>
      <c r="L56" s="75">
        <v>208</v>
      </c>
      <c r="M56" s="75">
        <v>787</v>
      </c>
      <c r="N56" s="75">
        <v>207</v>
      </c>
      <c r="O56" s="75">
        <v>115</v>
      </c>
      <c r="P56" s="75">
        <v>552</v>
      </c>
      <c r="Q56" s="75">
        <v>207</v>
      </c>
      <c r="R56" s="75">
        <v>108</v>
      </c>
      <c r="S56" s="75">
        <v>91</v>
      </c>
      <c r="T56" s="75">
        <v>161</v>
      </c>
      <c r="U56" s="75">
        <v>212</v>
      </c>
      <c r="V56" s="75">
        <v>133</v>
      </c>
      <c r="W56" s="75">
        <v>121</v>
      </c>
      <c r="X56" s="75">
        <v>50</v>
      </c>
      <c r="Y56" s="75">
        <v>112</v>
      </c>
      <c r="Z56" s="122">
        <v>268</v>
      </c>
      <c r="AA56" s="75" t="str">
        <f>IF(AND(Z56=0,Y56=0),0,IF(OR(AND(Z56&gt;0,Y56&lt;=0),AND(Z56&lt;0,Y56&gt;=0)),"nm",IF(AND(Z56&lt;0,Y56&lt;0),IF(-(Z56/Y56-1)*100&lt;-100,"(&gt;100)",-(Z56/Y56-1)*100),IF((Z56/Y56-1)*100&gt;100,"&gt;100",(Z56/Y56-1)*100))))</f>
        <v>&gt;100</v>
      </c>
      <c r="AB56" s="75" t="str">
        <f>IF(AND(Z56=0,V56=0),0,IF(OR(AND(Z56&gt;0,V56&lt;=0),AND(Z56&lt;0,V56&gt;=0)),"nm",IF(AND(Z56&lt;0,V56&lt;0),IF(-(Z56/V56-1)*100&lt;-100,"(&gt;100)",-(Z56/V56-1)*100),IF((Z56/V56-1)*100&gt;100,"&gt;100",(Z56/V56-1)*100))))</f>
        <v>&gt;100</v>
      </c>
      <c r="AD56" s="265">
        <v>572</v>
      </c>
      <c r="AE56" s="122">
        <v>364</v>
      </c>
      <c r="AF56" s="75">
        <f>IF(AND(AE56=0,AD56=0),0,IF(OR(AND(AE56&gt;0,AD56&lt;=0),AND(AE56&lt;0,AD56&gt;=0)),"nm",IF(AND(AE56&lt;0,AD56&lt;0),IF(-(AE56/AD56-1)*100&lt;-100,"(&gt;100)",-(AE56/AD56-1)*100),IF((AE56/AD56-1)*100&gt;100,"&gt;100",(AE56/AD56-1)*100))))</f>
        <v>-36.36363636363637</v>
      </c>
      <c r="AG56" s="18"/>
      <c r="AH56" s="18"/>
      <c r="AI56" s="18"/>
    </row>
    <row r="57" spans="2:35" ht="15">
      <c r="B57" s="22" t="s">
        <v>114</v>
      </c>
      <c r="C57" s="90"/>
      <c r="D57" s="131">
        <v>482</v>
      </c>
      <c r="E57" s="75">
        <v>915</v>
      </c>
      <c r="F57" s="75">
        <v>947</v>
      </c>
      <c r="G57" s="75">
        <v>561</v>
      </c>
      <c r="H57" s="121">
        <v>364</v>
      </c>
      <c r="J57" s="75">
        <v>11</v>
      </c>
      <c r="K57" s="75">
        <v>313</v>
      </c>
      <c r="L57" s="75">
        <v>325</v>
      </c>
      <c r="M57" s="75">
        <v>266</v>
      </c>
      <c r="N57" s="75">
        <v>246</v>
      </c>
      <c r="O57" s="75">
        <v>268</v>
      </c>
      <c r="P57" s="75">
        <v>280</v>
      </c>
      <c r="Q57" s="75">
        <v>153</v>
      </c>
      <c r="R57" s="75">
        <v>111</v>
      </c>
      <c r="S57" s="75">
        <v>266</v>
      </c>
      <c r="T57" s="75">
        <v>157</v>
      </c>
      <c r="U57" s="75">
        <v>27</v>
      </c>
      <c r="V57" s="75">
        <v>96</v>
      </c>
      <c r="W57" s="75">
        <v>36</v>
      </c>
      <c r="X57" s="75">
        <v>120</v>
      </c>
      <c r="Y57" s="75">
        <v>152</v>
      </c>
      <c r="Z57" s="122">
        <v>12</v>
      </c>
      <c r="AA57" s="75">
        <f>IF(AND(Z57=0,Y57=0),0,IF(OR(AND(Z57&gt;0,Y57&lt;=0),AND(Z57&lt;0,Y57&gt;=0)),"nm",IF(AND(Z57&lt;0,Y57&lt;0),IF(-(Z57/Y57-1)*100&lt;-100,"(&gt;100)",-(Z57/Y57-1)*100),IF((Z57/Y57-1)*100&gt;100,"&gt;100",(Z57/Y57-1)*100))))</f>
        <v>-92.10526315789474</v>
      </c>
      <c r="AB57" s="75">
        <f>IF(AND(Z57=0,V57=0),0,IF(OR(AND(Z57&gt;0,V57&lt;=0),AND(Z57&lt;0,V57&gt;=0)),"nm",IF(AND(Z57&lt;0,V57&lt;0),IF(-(Z57/V57-1)*100&lt;-100,"(&gt;100)",-(Z57/V57-1)*100),IF((Z57/V57-1)*100&gt;100,"&gt;100",(Z57/V57-1)*100))))</f>
        <v>-87.5</v>
      </c>
      <c r="AD57" s="265">
        <v>561</v>
      </c>
      <c r="AE57" s="122">
        <v>364</v>
      </c>
      <c r="AF57" s="75">
        <f>IF(AND(AE57=0,AD57=0),0,IF(OR(AND(AE57&gt;0,AD57&lt;=0),AND(AE57&lt;0,AD57&gt;=0)),"nm",IF(AND(AE57&lt;0,AD57&lt;0),IF(-(AE57/AD57-1)*100&lt;-100,"(&gt;100)",-(AE57/AD57-1)*100),IF((AE57/AD57-1)*100&gt;100,"&gt;100",(AE57/AD57-1)*100))))</f>
        <v>-35.115864527629235</v>
      </c>
      <c r="AG57" s="18"/>
      <c r="AH57" s="18"/>
      <c r="AI57" s="18"/>
    </row>
    <row r="58" spans="2:35" ht="15">
      <c r="B58" s="22" t="s">
        <v>113</v>
      </c>
      <c r="C58" s="22"/>
      <c r="D58" s="131">
        <v>282</v>
      </c>
      <c r="E58" s="75">
        <v>630</v>
      </c>
      <c r="F58" s="75">
        <v>1140</v>
      </c>
      <c r="G58" s="75">
        <v>320</v>
      </c>
      <c r="H58" s="121">
        <v>178</v>
      </c>
      <c r="J58" s="75">
        <v>74</v>
      </c>
      <c r="K58" s="75">
        <v>320</v>
      </c>
      <c r="L58" s="75">
        <v>111</v>
      </c>
      <c r="M58" s="75">
        <v>125</v>
      </c>
      <c r="N58" s="75">
        <v>112</v>
      </c>
      <c r="O58" s="75">
        <v>191</v>
      </c>
      <c r="P58" s="75">
        <v>491</v>
      </c>
      <c r="Q58" s="75">
        <v>346</v>
      </c>
      <c r="R58" s="75">
        <v>112</v>
      </c>
      <c r="S58" s="75">
        <v>40</v>
      </c>
      <c r="T58" s="75">
        <v>107</v>
      </c>
      <c r="U58" s="75">
        <v>61</v>
      </c>
      <c r="V58" s="75">
        <v>33</v>
      </c>
      <c r="W58" s="75">
        <v>37</v>
      </c>
      <c r="X58" s="75">
        <v>51</v>
      </c>
      <c r="Y58" s="75">
        <v>69</v>
      </c>
      <c r="Z58" s="122">
        <v>215</v>
      </c>
      <c r="AA58" s="75" t="str">
        <f>IF(AND(Z58=0,Y58=0),0,IF(OR(AND(Z58&gt;0,Y58&lt;=0),AND(Z58&lt;0,Y58&gt;=0)),"nm",IF(AND(Z58&lt;0,Y58&lt;0),IF(-(Z58/Y58-1)*100&lt;-100,"(&gt;100)",-(Z58/Y58-1)*100),IF((Z58/Y58-1)*100&gt;100,"&gt;100",(Z58/Y58-1)*100))))</f>
        <v>&gt;100</v>
      </c>
      <c r="AB58" s="75" t="str">
        <f>IF(AND(Z58=0,V58=0),0,IF(OR(AND(Z58&gt;0,V58&lt;=0),AND(Z58&lt;0,V58&gt;=0)),"nm",IF(AND(Z58&lt;0,V58&lt;0),IF(-(Z58/V58-1)*100&lt;-100,"(&gt;100)",-(Z58/V58-1)*100),IF((Z58/V58-1)*100&gt;100,"&gt;100",(Z58/V58-1)*100))))</f>
        <v>&gt;100</v>
      </c>
      <c r="AD58" s="265">
        <v>320</v>
      </c>
      <c r="AE58" s="122">
        <v>178</v>
      </c>
      <c r="AF58" s="75">
        <f>IF(AND(AE58=0,AD58=0),0,IF(OR(AND(AE58&gt;0,AD58&lt;=0),AND(AE58&lt;0,AD58&gt;=0)),"nm",IF(AND(AE58&lt;0,AD58&lt;0),IF(-(AE58/AD58-1)*100&lt;-100,"(&gt;100)",-(AE58/AD58-1)*100),IF((AE58/AD58-1)*100&gt;100,"&gt;100",(AE58/AD58-1)*100))))</f>
        <v>-44.375</v>
      </c>
      <c r="AG58" s="18"/>
      <c r="AH58" s="18"/>
      <c r="AI58" s="18"/>
    </row>
    <row r="59" spans="2:32" s="18" customFormat="1" ht="15">
      <c r="B59" s="18" t="s">
        <v>116</v>
      </c>
      <c r="D59" s="104">
        <v>2392</v>
      </c>
      <c r="E59" s="17">
        <v>4219</v>
      </c>
      <c r="F59" s="17">
        <v>3213</v>
      </c>
      <c r="G59" s="17">
        <v>2904</v>
      </c>
      <c r="H59" s="17">
        <v>2726</v>
      </c>
      <c r="I59" s="17"/>
      <c r="J59" s="17">
        <v>3233</v>
      </c>
      <c r="K59" s="17">
        <v>4051</v>
      </c>
      <c r="L59" s="17">
        <v>3823</v>
      </c>
      <c r="M59" s="17">
        <v>4219</v>
      </c>
      <c r="N59" s="17">
        <v>4068</v>
      </c>
      <c r="O59" s="17">
        <v>3724</v>
      </c>
      <c r="P59" s="17">
        <v>3505</v>
      </c>
      <c r="Q59" s="17">
        <v>3213</v>
      </c>
      <c r="R59" s="17">
        <v>3098</v>
      </c>
      <c r="S59" s="17">
        <v>2883</v>
      </c>
      <c r="T59" s="17">
        <v>2780</v>
      </c>
      <c r="U59" s="17">
        <v>2904</v>
      </c>
      <c r="V59" s="17">
        <v>2908</v>
      </c>
      <c r="W59" s="17">
        <v>2956</v>
      </c>
      <c r="X59" s="17">
        <v>2835</v>
      </c>
      <c r="Y59" s="17">
        <v>2726</v>
      </c>
      <c r="Z59" s="125">
        <f>Z55+Z56-Z57-Z58</f>
        <v>2767</v>
      </c>
      <c r="AA59" s="17">
        <f>IF(AND(Z59=0,Y59=0),0,IF(OR(AND(Z59&gt;0,Y59&lt;=0),AND(Z59&lt;0,Y59&gt;=0)),"nm",IF(AND(Z59&lt;0,Y59&lt;0),IF(-(Z59/Y59-1)*100&lt;-100,"(&gt;100)",-(Z59/Y59-1)*100),IF((Z59/Y59-1)*100&gt;100,"&gt;100",(Z59/Y59-1)*100))))</f>
        <v>1.5040352164343407</v>
      </c>
      <c r="AB59" s="17">
        <f>IF(AND(Z59=0,V59=0),0,IF(OR(AND(Z59&gt;0,V59&lt;=0),AND(Z59&lt;0,V59&gt;=0)),"nm",IF(AND(Z59&lt;0,V59&lt;0),IF(-(Z59/V59-1)*100&lt;-100,"(&gt;100)",-(Z59/V59-1)*100),IF((Z59/V59-1)*100&gt;100,"&gt;100",(Z59/V59-1)*100))))</f>
        <v>-4.848693259972492</v>
      </c>
      <c r="AC59" s="15"/>
      <c r="AD59" s="320">
        <v>2904</v>
      </c>
      <c r="AE59" s="125">
        <f>AE55+AE56-AE57-AE58</f>
        <v>2726</v>
      </c>
      <c r="AF59" s="17">
        <f>IF(AND(AE59=0,AD59=0),0,IF(OR(AND(AE59&gt;0,AD59&lt;=0),AND(AE59&lt;0,AD59&gt;=0)),"nm",IF(AND(AE59&lt;0,AD59&lt;0),IF(-(AE59/AD59-1)*100&lt;-100,"(&gt;100)",-(AE59/AD59-1)*100),IF((AE59/AD59-1)*100&gt;100,"&gt;100",(AE59/AD59-1)*100))))</f>
        <v>-6.129476584022042</v>
      </c>
    </row>
    <row r="60" spans="3:32" s="18" customFormat="1" ht="15">
      <c r="C60" s="7"/>
      <c r="D60" s="8"/>
      <c r="E60" s="17"/>
      <c r="F60" s="17"/>
      <c r="G60" s="17"/>
      <c r="H60" s="17"/>
      <c r="I60" s="17"/>
      <c r="J60" s="17"/>
      <c r="K60" s="17"/>
      <c r="L60" s="17"/>
      <c r="M60" s="17"/>
      <c r="N60" s="17"/>
      <c r="O60" s="17"/>
      <c r="P60" s="17"/>
      <c r="Q60" s="17"/>
      <c r="R60" s="17"/>
      <c r="S60" s="17"/>
      <c r="T60" s="17"/>
      <c r="U60" s="17"/>
      <c r="V60" s="17"/>
      <c r="W60" s="17"/>
      <c r="X60" s="17"/>
      <c r="Y60" s="17"/>
      <c r="Z60" s="365"/>
      <c r="AA60" s="17"/>
      <c r="AB60" s="17"/>
      <c r="AC60" s="15"/>
      <c r="AD60" s="170"/>
      <c r="AE60" s="125"/>
      <c r="AF60" s="17"/>
    </row>
    <row r="61" spans="8:35" ht="15">
      <c r="H61" s="121"/>
      <c r="Z61" s="364"/>
      <c r="AD61" s="390"/>
      <c r="AE61" s="391"/>
      <c r="AG61" s="18"/>
      <c r="AH61" s="18"/>
      <c r="AI61" s="18"/>
    </row>
    <row r="62" spans="8:35" ht="15">
      <c r="H62" s="171"/>
      <c r="Z62" s="364"/>
      <c r="AE62" s="364"/>
      <c r="AG62" s="18"/>
      <c r="AH62" s="18"/>
      <c r="AI62" s="18"/>
    </row>
    <row r="63" spans="26:35" ht="15">
      <c r="Z63" s="364"/>
      <c r="AE63" s="364"/>
      <c r="AG63" s="18"/>
      <c r="AH63" s="18"/>
      <c r="AI63" s="18"/>
    </row>
    <row r="64" spans="26:31" ht="14.25">
      <c r="Z64" s="364"/>
      <c r="AE64" s="364"/>
    </row>
    <row r="65" spans="26:31" ht="14.25">
      <c r="Z65" s="364"/>
      <c r="AE65" s="364"/>
    </row>
    <row r="66" ht="14.25">
      <c r="Z66" s="364"/>
    </row>
    <row r="67" ht="14.25">
      <c r="Z67" s="364"/>
    </row>
    <row r="68" ht="14.25">
      <c r="Z68" s="364"/>
    </row>
    <row r="69" ht="14.25">
      <c r="Z69" s="364"/>
    </row>
    <row r="70" spans="2:26" ht="14.25">
      <c r="B70" s="512" t="s">
        <v>432</v>
      </c>
      <c r="Z70" s="364"/>
    </row>
    <row r="71" spans="2:26" ht="14.25">
      <c r="B71" s="512" t="s">
        <v>435</v>
      </c>
      <c r="Z71" s="364"/>
    </row>
    <row r="72" ht="14.25">
      <c r="Z72" s="364"/>
    </row>
    <row r="73" ht="14.25">
      <c r="Z73" s="364"/>
    </row>
    <row r="74" ht="14.25">
      <c r="Z74" s="364"/>
    </row>
    <row r="75" ht="14.25">
      <c r="Z75" s="306"/>
    </row>
    <row r="76" ht="14.25">
      <c r="Z76" s="306"/>
    </row>
    <row r="77" ht="14.25">
      <c r="Z77" s="306"/>
    </row>
    <row r="78" ht="14.25">
      <c r="Z78" s="306"/>
    </row>
    <row r="79" ht="14.25">
      <c r="Z79" s="306"/>
    </row>
  </sheetData>
  <sheetProtection/>
  <mergeCells count="1">
    <mergeCell ref="A2:C2"/>
  </mergeCells>
  <hyperlinks>
    <hyperlink ref="A2" location="Index!A1" display="Back to Index"/>
  </hyperlinks>
  <printOptions gridLines="1"/>
  <pageMargins left="0.75" right="0" top="0.6" bottom="0.32" header="0.25" footer="0"/>
  <pageSetup horizontalDpi="600" verticalDpi="600" orientation="landscape" paperSize="9" scale="60" r:id="rId1"/>
  <headerFooter alignWithMargins="0">
    <oddFooter>&amp;L&amp;8&amp;D\&amp;T&amp;R&amp;F&amp;A</oddFooter>
  </headerFooter>
</worksheet>
</file>

<file path=xl/worksheets/sheet13.xml><?xml version="1.0" encoding="utf-8"?>
<worksheet xmlns="http://schemas.openxmlformats.org/spreadsheetml/2006/main" xmlns:r="http://schemas.openxmlformats.org/officeDocument/2006/relationships">
  <sheetPr>
    <tabColor indexed="47"/>
  </sheetPr>
  <dimension ref="A1:AK98"/>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B65" sqref="B65:B66"/>
    </sheetView>
  </sheetViews>
  <sheetFormatPr defaultColWidth="9.140625" defaultRowHeight="12.75" outlineLevelCol="1"/>
  <cols>
    <col min="1" max="1" width="2.28125" style="22" customWidth="1"/>
    <col min="2" max="2" width="2.7109375" style="22" customWidth="1"/>
    <col min="3" max="3" width="36.8515625" style="10" customWidth="1"/>
    <col min="4" max="4" width="10.421875" style="76" hidden="1" customWidth="1" outlineLevel="1"/>
    <col min="5" max="8" width="10.421875" style="75" hidden="1" customWidth="1" outlineLevel="1"/>
    <col min="9" max="9" width="2.7109375" style="75" hidden="1" customWidth="1" outlineLevel="1"/>
    <col min="10" max="17" width="9.8515625" style="75" hidden="1" customWidth="1" outlineLevel="1"/>
    <col min="18" max="19" width="9.8515625" style="75" hidden="1" customWidth="1" outlineLevel="1" collapsed="1"/>
    <col min="20" max="20" width="10.28125" style="75" hidden="1" customWidth="1" outlineLevel="1"/>
    <col min="21" max="21" width="9.8515625" style="75" hidden="1" customWidth="1" outlineLevel="1"/>
    <col min="22" max="22" width="9.8515625" style="75" customWidth="1" collapsed="1"/>
    <col min="23" max="25" width="9.8515625" style="75" customWidth="1"/>
    <col min="26" max="26" width="9.8515625" style="119" customWidth="1"/>
    <col min="27" max="28" width="9.7109375" style="75" customWidth="1"/>
    <col min="29" max="29" width="2.7109375" style="21" customWidth="1"/>
    <col min="30" max="30" width="9.7109375" style="75" hidden="1" customWidth="1"/>
    <col min="31" max="31" width="9.8515625" style="119" hidden="1" customWidth="1"/>
    <col min="32" max="32" width="9.8515625" style="75" hidden="1" customWidth="1"/>
    <col min="33" max="16384" width="9.140625" style="22" customWidth="1"/>
  </cols>
  <sheetData>
    <row r="1" spans="1:32" s="42" customFormat="1" ht="20.25">
      <c r="A1" s="41" t="s">
        <v>208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43"/>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290" t="s">
        <v>366</v>
      </c>
      <c r="AE2" s="290" t="s">
        <v>392</v>
      </c>
      <c r="AF2" s="290" t="s">
        <v>393</v>
      </c>
    </row>
    <row r="3" spans="4:32" s="18" customFormat="1" ht="9.75" customHeight="1">
      <c r="D3" s="17"/>
      <c r="E3" s="17"/>
      <c r="F3" s="17"/>
      <c r="G3" s="17"/>
      <c r="H3" s="17"/>
      <c r="I3" s="17"/>
      <c r="J3" s="17"/>
      <c r="K3" s="17"/>
      <c r="L3" s="17"/>
      <c r="M3" s="17"/>
      <c r="N3" s="17"/>
      <c r="O3" s="17"/>
      <c r="P3" s="17"/>
      <c r="Q3" s="17"/>
      <c r="R3" s="17"/>
      <c r="S3" s="17"/>
      <c r="T3" s="17"/>
      <c r="U3" s="17"/>
      <c r="V3" s="17"/>
      <c r="W3" s="17"/>
      <c r="X3" s="17"/>
      <c r="Y3" s="17"/>
      <c r="Z3" s="141"/>
      <c r="AA3" s="17"/>
      <c r="AB3" s="17"/>
      <c r="AC3" s="15"/>
      <c r="AD3" s="17"/>
      <c r="AE3" s="141"/>
      <c r="AF3" s="17"/>
    </row>
    <row r="4" spans="1:32" s="18" customFormat="1" ht="15">
      <c r="A4" s="46" t="s">
        <v>223</v>
      </c>
      <c r="D4" s="17"/>
      <c r="E4" s="17"/>
      <c r="F4" s="17"/>
      <c r="G4" s="17"/>
      <c r="H4" s="17"/>
      <c r="I4" s="17"/>
      <c r="J4" s="17"/>
      <c r="K4" s="17"/>
      <c r="L4" s="17"/>
      <c r="M4" s="17"/>
      <c r="N4" s="17"/>
      <c r="O4" s="17"/>
      <c r="P4" s="17"/>
      <c r="Q4" s="17"/>
      <c r="R4" s="17"/>
      <c r="S4" s="17"/>
      <c r="T4" s="17"/>
      <c r="U4" s="17"/>
      <c r="V4" s="17"/>
      <c r="W4" s="17"/>
      <c r="X4" s="17"/>
      <c r="Y4" s="17"/>
      <c r="Z4" s="365"/>
      <c r="AA4" s="17"/>
      <c r="AB4" s="17"/>
      <c r="AC4" s="15"/>
      <c r="AD4" s="17"/>
      <c r="AE4" s="125"/>
      <c r="AF4" s="17"/>
    </row>
    <row r="5" spans="1:32" s="18" customFormat="1" ht="15">
      <c r="A5" s="18" t="s">
        <v>209</v>
      </c>
      <c r="C5" s="32"/>
      <c r="D5" s="17">
        <f>D6+D10</f>
        <v>2732</v>
      </c>
      <c r="E5" s="17">
        <f>E6+E10</f>
        <v>3480</v>
      </c>
      <c r="F5" s="17">
        <v>3197</v>
      </c>
      <c r="G5" s="17">
        <v>3660</v>
      </c>
      <c r="H5" s="17">
        <f aca="true" t="shared" si="0" ref="H5:H10">AE5</f>
        <v>3866</v>
      </c>
      <c r="I5" s="17"/>
      <c r="J5" s="17">
        <v>3147</v>
      </c>
      <c r="K5" s="17">
        <f>K6+K10</f>
        <v>3263</v>
      </c>
      <c r="L5" s="17">
        <v>3422</v>
      </c>
      <c r="M5" s="17">
        <v>3480</v>
      </c>
      <c r="N5" s="17">
        <v>3722</v>
      </c>
      <c r="O5" s="17">
        <v>3747</v>
      </c>
      <c r="P5" s="17">
        <v>3387</v>
      </c>
      <c r="Q5" s="17">
        <v>3197</v>
      </c>
      <c r="R5" s="17">
        <v>3176</v>
      </c>
      <c r="S5" s="17">
        <v>3266</v>
      </c>
      <c r="T5" s="17">
        <v>3457</v>
      </c>
      <c r="U5" s="17">
        <v>3660</v>
      </c>
      <c r="V5" s="17">
        <v>3717</v>
      </c>
      <c r="W5" s="17">
        <v>3820</v>
      </c>
      <c r="X5" s="17">
        <v>3795</v>
      </c>
      <c r="Y5" s="17">
        <v>3866</v>
      </c>
      <c r="Z5" s="125">
        <f>Z6+Z10</f>
        <v>3927</v>
      </c>
      <c r="AA5" s="320">
        <f aca="true" t="shared" si="1" ref="AA5:AA10">IF(AND(Z5=0,Y5=0),0,IF(OR(AND(Z5&gt;0,Y5&lt;=0),AND(Z5&lt;0,Y5&gt;=0)),"nm",IF(AND(Z5&lt;0,Y5&lt;0),IF(-(Z5/Y5-1)*100&lt;-100,"(&gt;100)",-(Z5/Y5-1)*100),IF((Z5/Y5-1)*100&gt;100,"&gt;100",(Z5/Y5-1)*100))))</f>
        <v>1.577858251422648</v>
      </c>
      <c r="AB5" s="320">
        <f aca="true" t="shared" si="2" ref="AB5:AB10">IF(AND(Z5=0,V5=0),0,IF(OR(AND(Z5&gt;0,V5&lt;=0),AND(Z5&lt;0,V5&gt;=0)),"nm",IF(AND(Z5&lt;0,V5&lt;0),IF(-(Z5/V5-1)*100&lt;-100,"(&gt;100)",-(Z5/V5-1)*100),IF((Z5/V5-1)*100&gt;100,"&gt;100",(Z5/V5-1)*100))))</f>
        <v>5.649717514124286</v>
      </c>
      <c r="AC5" s="321"/>
      <c r="AD5" s="320">
        <v>3660</v>
      </c>
      <c r="AE5" s="125">
        <f>AE6+AE10</f>
        <v>3866</v>
      </c>
      <c r="AF5" s="17">
        <f aca="true" t="shared" si="3" ref="AF5:AF10">IF(AND(AE5=0,AD5=0),0,IF(OR(AND(AE5&gt;0,AD5&lt;=0),AND(AE5&lt;0,AD5&gt;=0)),"nm",IF(AND(AE5&lt;0,AD5&lt;0),IF(-(AE5/AD5-1)*100&lt;-100,"(&gt;100)",-(AE5/AD5-1)*100),IF((AE5/AD5-1)*100&gt;100,"&gt;100",(AE5/AD5-1)*100))))</f>
        <v>5.628415300546452</v>
      </c>
    </row>
    <row r="6" spans="2:32" s="18" customFormat="1" ht="15">
      <c r="B6" s="18" t="s">
        <v>95</v>
      </c>
      <c r="D6" s="17">
        <f>D13</f>
        <v>1208</v>
      </c>
      <c r="E6" s="17">
        <f>E13</f>
        <v>1808</v>
      </c>
      <c r="F6" s="17">
        <v>1345</v>
      </c>
      <c r="G6" s="17">
        <v>1321</v>
      </c>
      <c r="H6" s="17">
        <f t="shared" si="0"/>
        <v>1355</v>
      </c>
      <c r="I6" s="17"/>
      <c r="J6" s="17">
        <v>1420</v>
      </c>
      <c r="K6" s="17">
        <f>K13</f>
        <v>1364</v>
      </c>
      <c r="L6" s="17">
        <v>1521</v>
      </c>
      <c r="M6" s="17">
        <v>1808</v>
      </c>
      <c r="N6" s="17">
        <v>2034</v>
      </c>
      <c r="O6" s="17">
        <v>1938</v>
      </c>
      <c r="P6" s="17">
        <v>1567</v>
      </c>
      <c r="Q6" s="17">
        <v>1345</v>
      </c>
      <c r="R6" s="17">
        <v>1273</v>
      </c>
      <c r="S6" s="17">
        <v>1275</v>
      </c>
      <c r="T6" s="17">
        <v>1249</v>
      </c>
      <c r="U6" s="17">
        <v>1321</v>
      </c>
      <c r="V6" s="17">
        <v>1317</v>
      </c>
      <c r="W6" s="17">
        <v>1351</v>
      </c>
      <c r="X6" s="17">
        <v>1333</v>
      </c>
      <c r="Y6" s="17">
        <v>1355</v>
      </c>
      <c r="Z6" s="125">
        <f>SUM(Z7:Z9)</f>
        <v>1302</v>
      </c>
      <c r="AA6" s="320">
        <f t="shared" si="1"/>
        <v>-3.9114391143911464</v>
      </c>
      <c r="AB6" s="320">
        <f t="shared" si="2"/>
        <v>-1.1389521640091105</v>
      </c>
      <c r="AC6" s="321"/>
      <c r="AD6" s="320">
        <v>1321</v>
      </c>
      <c r="AE6" s="125">
        <f>SUM(AE7:AE9)</f>
        <v>1355</v>
      </c>
      <c r="AF6" s="17">
        <f>IF(AND(AE6=0,AD6=0),0,IF(OR(AND(AE6&gt;0,AD6&lt;=0),AND(AE6&lt;0,AD6&gt;=0)),"nm",IF(AND(AE6&lt;0,AD6&lt;0),IF(-(AE6/AD6-1)*100&lt;-100,"(&gt;100)",-(AE6/AD6-1)*100),IF((AE6/AD6-1)*100&gt;100,"&gt;100",(AE6/AD6-1)*100))))</f>
        <v>2.5738077214231714</v>
      </c>
    </row>
    <row r="7" spans="3:37" ht="15">
      <c r="C7" s="22" t="s">
        <v>149</v>
      </c>
      <c r="D7" s="75">
        <v>213</v>
      </c>
      <c r="E7" s="75">
        <v>195</v>
      </c>
      <c r="F7" s="75">
        <v>374</v>
      </c>
      <c r="G7" s="75">
        <v>241</v>
      </c>
      <c r="H7" s="121">
        <f t="shared" si="0"/>
        <v>268</v>
      </c>
      <c r="J7" s="75">
        <v>219</v>
      </c>
      <c r="K7" s="75">
        <v>268</v>
      </c>
      <c r="L7" s="75">
        <v>356</v>
      </c>
      <c r="M7" s="75">
        <v>195</v>
      </c>
      <c r="N7" s="75">
        <v>269</v>
      </c>
      <c r="O7" s="75">
        <v>249</v>
      </c>
      <c r="P7" s="75">
        <v>342</v>
      </c>
      <c r="Q7" s="75">
        <v>374</v>
      </c>
      <c r="R7" s="75">
        <v>409</v>
      </c>
      <c r="S7" s="75">
        <v>431</v>
      </c>
      <c r="T7" s="75">
        <v>281</v>
      </c>
      <c r="U7" s="75">
        <v>241</v>
      </c>
      <c r="V7" s="75">
        <v>243</v>
      </c>
      <c r="W7" s="75">
        <v>258</v>
      </c>
      <c r="X7" s="75">
        <v>284</v>
      </c>
      <c r="Y7" s="75">
        <v>268</v>
      </c>
      <c r="Z7" s="122">
        <v>267</v>
      </c>
      <c r="AA7" s="265">
        <f t="shared" si="1"/>
        <v>-0.3731343283582045</v>
      </c>
      <c r="AB7" s="265">
        <f t="shared" si="2"/>
        <v>9.876543209876543</v>
      </c>
      <c r="AC7" s="322"/>
      <c r="AD7" s="265">
        <v>241</v>
      </c>
      <c r="AE7" s="122">
        <v>268</v>
      </c>
      <c r="AF7" s="75">
        <f>IF(AND(AE7=0,AD7=0),0,IF(OR(AND(AE7&gt;0,AD7&lt;=0),AND(AE7&lt;0,AD7&gt;=0)),"nm",IF(AND(AE7&lt;0,AD7&lt;0),IF(-(AE7/AD7-1)*100&lt;-100,"(&gt;100)",-(AE7/AD7-1)*100),IF((AE7/AD7-1)*100&gt;100,"&gt;100",(AE7/AD7-1)*100))))</f>
        <v>11.203319502074693</v>
      </c>
      <c r="AH7" s="18"/>
      <c r="AI7" s="18"/>
      <c r="AJ7" s="18"/>
      <c r="AK7" s="18"/>
    </row>
    <row r="8" spans="3:37" ht="15">
      <c r="C8" s="22" t="s">
        <v>150</v>
      </c>
      <c r="D8" s="75">
        <v>730</v>
      </c>
      <c r="E8" s="75">
        <v>977</v>
      </c>
      <c r="F8" s="75">
        <v>580</v>
      </c>
      <c r="G8" s="75">
        <v>687</v>
      </c>
      <c r="H8" s="121">
        <f t="shared" si="0"/>
        <v>518</v>
      </c>
      <c r="J8" s="75">
        <v>849</v>
      </c>
      <c r="K8" s="75">
        <v>652</v>
      </c>
      <c r="L8" s="75">
        <v>648</v>
      </c>
      <c r="M8" s="75">
        <v>977</v>
      </c>
      <c r="N8" s="75">
        <v>1086</v>
      </c>
      <c r="O8" s="75">
        <v>1153</v>
      </c>
      <c r="P8" s="75">
        <v>723</v>
      </c>
      <c r="Q8" s="75">
        <v>580</v>
      </c>
      <c r="R8" s="75">
        <v>479</v>
      </c>
      <c r="S8" s="75">
        <v>464</v>
      </c>
      <c r="T8" s="75">
        <v>594</v>
      </c>
      <c r="U8" s="75">
        <v>687</v>
      </c>
      <c r="V8" s="75">
        <v>695</v>
      </c>
      <c r="W8" s="75">
        <v>711</v>
      </c>
      <c r="X8" s="75">
        <v>680</v>
      </c>
      <c r="Y8" s="75">
        <v>518</v>
      </c>
      <c r="Z8" s="122">
        <v>466</v>
      </c>
      <c r="AA8" s="265">
        <f t="shared" si="1"/>
        <v>-10.038610038610042</v>
      </c>
      <c r="AB8" s="265">
        <f t="shared" si="2"/>
        <v>-32.94964028776979</v>
      </c>
      <c r="AC8" s="322"/>
      <c r="AD8" s="265">
        <v>687</v>
      </c>
      <c r="AE8" s="122">
        <v>518</v>
      </c>
      <c r="AF8" s="75">
        <f t="shared" si="3"/>
        <v>-24.599708879184867</v>
      </c>
      <c r="AH8" s="18"/>
      <c r="AI8" s="18"/>
      <c r="AJ8" s="18"/>
      <c r="AK8" s="18"/>
    </row>
    <row r="9" spans="3:37" ht="15">
      <c r="C9" s="22" t="s">
        <v>151</v>
      </c>
      <c r="D9" s="75">
        <v>265</v>
      </c>
      <c r="E9" s="75">
        <v>636</v>
      </c>
      <c r="F9" s="75">
        <v>391</v>
      </c>
      <c r="G9" s="75">
        <v>393</v>
      </c>
      <c r="H9" s="121">
        <f t="shared" si="0"/>
        <v>569</v>
      </c>
      <c r="J9" s="75">
        <v>352</v>
      </c>
      <c r="K9" s="75">
        <v>444</v>
      </c>
      <c r="L9" s="75">
        <v>517</v>
      </c>
      <c r="M9" s="75">
        <v>636</v>
      </c>
      <c r="N9" s="75">
        <v>679</v>
      </c>
      <c r="O9" s="75">
        <v>536</v>
      </c>
      <c r="P9" s="75">
        <v>502</v>
      </c>
      <c r="Q9" s="75">
        <v>391</v>
      </c>
      <c r="R9" s="75">
        <v>385</v>
      </c>
      <c r="S9" s="75">
        <v>380</v>
      </c>
      <c r="T9" s="75">
        <v>374</v>
      </c>
      <c r="U9" s="75">
        <v>393</v>
      </c>
      <c r="V9" s="75">
        <v>379</v>
      </c>
      <c r="W9" s="75">
        <v>382</v>
      </c>
      <c r="X9" s="75">
        <v>369</v>
      </c>
      <c r="Y9" s="75">
        <v>569</v>
      </c>
      <c r="Z9" s="122">
        <v>569</v>
      </c>
      <c r="AA9" s="265">
        <f t="shared" si="1"/>
        <v>0</v>
      </c>
      <c r="AB9" s="265">
        <f t="shared" si="2"/>
        <v>50.131926121372025</v>
      </c>
      <c r="AC9" s="322"/>
      <c r="AD9" s="265">
        <v>393</v>
      </c>
      <c r="AE9" s="122">
        <v>569</v>
      </c>
      <c r="AF9" s="75">
        <f t="shared" si="3"/>
        <v>44.783715012722645</v>
      </c>
      <c r="AH9" s="18"/>
      <c r="AI9" s="18"/>
      <c r="AJ9" s="18"/>
      <c r="AK9" s="18"/>
    </row>
    <row r="10" spans="2:32" s="18" customFormat="1" ht="15">
      <c r="B10" s="18" t="s">
        <v>50</v>
      </c>
      <c r="D10" s="17">
        <v>1524</v>
      </c>
      <c r="E10" s="17">
        <f>E39</f>
        <v>1672</v>
      </c>
      <c r="F10" s="17">
        <v>1852</v>
      </c>
      <c r="G10" s="17">
        <v>2339</v>
      </c>
      <c r="H10" s="17">
        <f t="shared" si="0"/>
        <v>2511</v>
      </c>
      <c r="I10" s="17"/>
      <c r="J10" s="17">
        <v>1727</v>
      </c>
      <c r="K10" s="17">
        <f>K39</f>
        <v>1899</v>
      </c>
      <c r="L10" s="17">
        <v>1901</v>
      </c>
      <c r="M10" s="17">
        <v>1672</v>
      </c>
      <c r="N10" s="17">
        <v>1688</v>
      </c>
      <c r="O10" s="17">
        <v>1809</v>
      </c>
      <c r="P10" s="17">
        <v>1820</v>
      </c>
      <c r="Q10" s="17">
        <v>1852</v>
      </c>
      <c r="R10" s="17">
        <v>1903</v>
      </c>
      <c r="S10" s="17">
        <v>1991</v>
      </c>
      <c r="T10" s="17">
        <v>2208</v>
      </c>
      <c r="U10" s="17">
        <v>2339</v>
      </c>
      <c r="V10" s="17">
        <v>2400</v>
      </c>
      <c r="W10" s="17">
        <v>2469</v>
      </c>
      <c r="X10" s="17">
        <v>2462</v>
      </c>
      <c r="Y10" s="17">
        <v>2511</v>
      </c>
      <c r="Z10" s="125">
        <v>2625</v>
      </c>
      <c r="AA10" s="320">
        <f t="shared" si="1"/>
        <v>4.54002389486261</v>
      </c>
      <c r="AB10" s="320">
        <f t="shared" si="2"/>
        <v>9.375</v>
      </c>
      <c r="AC10" s="321"/>
      <c r="AD10" s="320">
        <v>2339</v>
      </c>
      <c r="AE10" s="125">
        <v>2511</v>
      </c>
      <c r="AF10" s="17">
        <f t="shared" si="3"/>
        <v>7.353569901667378</v>
      </c>
    </row>
    <row r="11" spans="3:32" s="18" customFormat="1" ht="15">
      <c r="C11" s="32"/>
      <c r="D11" s="17"/>
      <c r="E11" s="17"/>
      <c r="F11" s="17"/>
      <c r="G11" s="17"/>
      <c r="H11" s="17"/>
      <c r="I11" s="17"/>
      <c r="J11" s="17"/>
      <c r="K11" s="17"/>
      <c r="L11" s="17"/>
      <c r="M11" s="17"/>
      <c r="N11" s="17"/>
      <c r="O11" s="17"/>
      <c r="P11" s="17"/>
      <c r="Q11" s="17"/>
      <c r="R11" s="17"/>
      <c r="S11" s="17"/>
      <c r="T11" s="17"/>
      <c r="U11" s="17"/>
      <c r="V11" s="17"/>
      <c r="W11" s="17"/>
      <c r="X11" s="17"/>
      <c r="Y11" s="17"/>
      <c r="Z11" s="478"/>
      <c r="AA11" s="320"/>
      <c r="AB11" s="320"/>
      <c r="AC11" s="321"/>
      <c r="AD11" s="320"/>
      <c r="AE11" s="125"/>
      <c r="AF11" s="17"/>
    </row>
    <row r="12" spans="1:32" s="18" customFormat="1" ht="15">
      <c r="A12" s="46" t="s">
        <v>210</v>
      </c>
      <c r="C12" s="32"/>
      <c r="D12" s="17"/>
      <c r="E12" s="17"/>
      <c r="F12" s="17"/>
      <c r="G12" s="17"/>
      <c r="H12" s="17"/>
      <c r="I12" s="17"/>
      <c r="J12" s="17"/>
      <c r="K12" s="17"/>
      <c r="L12" s="17"/>
      <c r="M12" s="17"/>
      <c r="N12" s="17"/>
      <c r="O12" s="17"/>
      <c r="P12" s="17"/>
      <c r="Q12" s="17"/>
      <c r="R12" s="17"/>
      <c r="S12" s="17"/>
      <c r="T12" s="17"/>
      <c r="U12" s="17"/>
      <c r="V12" s="17"/>
      <c r="W12" s="17"/>
      <c r="X12" s="17"/>
      <c r="Y12" s="17"/>
      <c r="Z12" s="478"/>
      <c r="AA12" s="320"/>
      <c r="AB12" s="320"/>
      <c r="AC12" s="321"/>
      <c r="AD12" s="320"/>
      <c r="AE12" s="125"/>
      <c r="AF12" s="17"/>
    </row>
    <row r="13" spans="1:32" s="18" customFormat="1" ht="15">
      <c r="A13" s="18" t="s">
        <v>165</v>
      </c>
      <c r="C13" s="32"/>
      <c r="D13" s="17">
        <f>D14+D34</f>
        <v>1208</v>
      </c>
      <c r="E13" s="17">
        <f>E14+E34</f>
        <v>1808</v>
      </c>
      <c r="F13" s="17">
        <v>1345</v>
      </c>
      <c r="G13" s="17">
        <v>1321</v>
      </c>
      <c r="H13" s="17">
        <f>AE13</f>
        <v>1355</v>
      </c>
      <c r="I13" s="17"/>
      <c r="J13" s="17">
        <v>1420</v>
      </c>
      <c r="K13" s="17">
        <f>K14+K34</f>
        <v>1364</v>
      </c>
      <c r="L13" s="17">
        <v>1521</v>
      </c>
      <c r="M13" s="17">
        <v>1808</v>
      </c>
      <c r="N13" s="17">
        <v>2034</v>
      </c>
      <c r="O13" s="17">
        <v>1938</v>
      </c>
      <c r="P13" s="17">
        <v>1567</v>
      </c>
      <c r="Q13" s="17">
        <v>1345</v>
      </c>
      <c r="R13" s="17">
        <v>1273</v>
      </c>
      <c r="S13" s="17">
        <v>1275</v>
      </c>
      <c r="T13" s="17">
        <v>1249</v>
      </c>
      <c r="U13" s="17">
        <v>1321</v>
      </c>
      <c r="V13" s="17">
        <v>1317</v>
      </c>
      <c r="W13" s="17">
        <v>1351</v>
      </c>
      <c r="X13" s="17">
        <v>1333</v>
      </c>
      <c r="Y13" s="17">
        <v>1355</v>
      </c>
      <c r="Z13" s="125">
        <f>Z14+Z34</f>
        <v>1302</v>
      </c>
      <c r="AA13" s="320">
        <f>IF(AND(Z13=0,Y13=0),0,IF(OR(AND(Z13&gt;0,Y13&lt;=0),AND(Z13&lt;0,Y13&gt;=0)),"nm",IF(AND(Z13&lt;0,Y13&lt;0),IF(-(Z13/Y13-1)*100&lt;-100,"(&gt;100)",-(Z13/Y13-1)*100),IF((Z13/Y13-1)*100&gt;100,"&gt;100",(Z13/Y13-1)*100))))</f>
        <v>-3.9114391143911464</v>
      </c>
      <c r="AB13" s="320">
        <f>IF(AND(Z13=0,V13=0),0,IF(OR(AND(Z13&gt;0,V13&lt;=0),AND(Z13&lt;0,V13&gt;=0)),"nm",IF(AND(Z13&lt;0,V13&lt;0),IF(-(Z13/V13-1)*100&lt;-100,"(&gt;100)",-(Z13/V13-1)*100),IF((Z13/V13-1)*100&gt;100,"&gt;100",(Z13/V13-1)*100))))</f>
        <v>-1.1389521640091105</v>
      </c>
      <c r="AC13" s="321"/>
      <c r="AD13" s="320">
        <v>1321</v>
      </c>
      <c r="AE13" s="125">
        <f>AE14+AE34</f>
        <v>1355</v>
      </c>
      <c r="AF13" s="17">
        <f>IF(AND(AE13=0,AD13=0),0,IF(OR(AND(AE13&gt;0,AD13&lt;=0),AND(AE13&lt;0,AD13&gt;=0)),"nm",IF(AND(AE13&lt;0,AD13&lt;0),IF(-(AE13/AD13-1)*100&lt;-100,"(&gt;100)",-(AE13/AD13-1)*100),IF((AE13/AD13-1)*100&gt;100,"&gt;100",(AE13/AD13-1)*100))))</f>
        <v>2.5738077214231714</v>
      </c>
    </row>
    <row r="14" spans="2:32" s="18" customFormat="1" ht="15">
      <c r="B14" s="18" t="s">
        <v>166</v>
      </c>
      <c r="D14" s="17">
        <v>920</v>
      </c>
      <c r="E14" s="17">
        <v>1605</v>
      </c>
      <c r="F14" s="17">
        <v>1212</v>
      </c>
      <c r="G14" s="17">
        <v>1227</v>
      </c>
      <c r="H14" s="17">
        <f>AE14</f>
        <v>1302</v>
      </c>
      <c r="I14" s="17"/>
      <c r="J14" s="17">
        <v>1115</v>
      </c>
      <c r="K14" s="17">
        <v>1151</v>
      </c>
      <c r="L14" s="17">
        <v>1288</v>
      </c>
      <c r="M14" s="17">
        <v>1605</v>
      </c>
      <c r="N14" s="17">
        <v>1827</v>
      </c>
      <c r="O14" s="17">
        <v>1738</v>
      </c>
      <c r="P14" s="17">
        <v>1378</v>
      </c>
      <c r="Q14" s="17">
        <v>1212</v>
      </c>
      <c r="R14" s="17">
        <v>1162</v>
      </c>
      <c r="S14" s="17">
        <v>1163</v>
      </c>
      <c r="T14" s="17">
        <v>1143</v>
      </c>
      <c r="U14" s="17">
        <v>1227</v>
      </c>
      <c r="V14" s="17">
        <v>1220</v>
      </c>
      <c r="W14" s="17">
        <v>1282</v>
      </c>
      <c r="X14" s="17">
        <v>1264</v>
      </c>
      <c r="Y14" s="17">
        <v>1302</v>
      </c>
      <c r="Z14" s="125">
        <f>SUM(Z15:Z17)</f>
        <v>1249</v>
      </c>
      <c r="AA14" s="320">
        <f>IF(AND(Z14=0,Y14=0),0,IF(OR(AND(Z14&gt;0,Y14&lt;=0),AND(Z14&lt;0,Y14&gt;=0)),"nm",IF(AND(Z14&lt;0,Y14&lt;0),IF(-(Z14/Y14-1)*100&lt;-100,"(&gt;100)",-(Z14/Y14-1)*100),IF((Z14/Y14-1)*100&gt;100,"&gt;100",(Z14/Y14-1)*100))))</f>
        <v>-4.070660522273428</v>
      </c>
      <c r="AB14" s="320">
        <f>IF(AND(Z14=0,V14=0),0,IF(OR(AND(Z14&gt;0,V14&lt;=0),AND(Z14&lt;0,V14&gt;=0)),"nm",IF(AND(Z14&lt;0,V14&lt;0),IF(-(Z14/V14-1)*100&lt;-100,"(&gt;100)",-(Z14/V14-1)*100),IF((Z14/V14-1)*100&gt;100,"&gt;100",(Z14/V14-1)*100))))</f>
        <v>2.3770491803278615</v>
      </c>
      <c r="AC14" s="321"/>
      <c r="AD14" s="320">
        <v>1227</v>
      </c>
      <c r="AE14" s="125">
        <f>SUM(AE15:AE17)</f>
        <v>1302</v>
      </c>
      <c r="AF14" s="17">
        <f>IF(AND(AE14=0,AD14=0),0,IF(OR(AND(AE14&gt;0,AD14&lt;=0),AND(AE14&lt;0,AD14&gt;=0)),"nm",IF(AND(AE14&lt;0,AD14&lt;0),IF(-(AE14/AD14-1)*100&lt;-100,"(&gt;100)",-(AE14/AD14-1)*100),IF((AE14/AD14-1)*100&gt;100,"&gt;100",(AE14/AD14-1)*100))))</f>
        <v>6.112469437652801</v>
      </c>
    </row>
    <row r="15" spans="2:37" ht="15">
      <c r="B15" s="91" t="s">
        <v>82</v>
      </c>
      <c r="C15" s="22"/>
      <c r="D15" s="75"/>
      <c r="H15" s="121"/>
      <c r="Z15" s="122"/>
      <c r="AE15" s="122"/>
      <c r="AH15" s="18"/>
      <c r="AI15" s="18"/>
      <c r="AJ15" s="18"/>
      <c r="AK15" s="18"/>
    </row>
    <row r="16" spans="2:37" ht="15">
      <c r="B16" s="31"/>
      <c r="C16" s="22" t="s">
        <v>391</v>
      </c>
      <c r="D16" s="75">
        <v>219</v>
      </c>
      <c r="E16" s="75">
        <v>195</v>
      </c>
      <c r="F16" s="75">
        <v>107</v>
      </c>
      <c r="G16" s="75">
        <v>86</v>
      </c>
      <c r="H16" s="121">
        <f>AE16</f>
        <v>70</v>
      </c>
      <c r="J16" s="75">
        <v>260</v>
      </c>
      <c r="K16" s="75">
        <v>262</v>
      </c>
      <c r="L16" s="75">
        <v>249</v>
      </c>
      <c r="M16" s="75">
        <v>195</v>
      </c>
      <c r="N16" s="75">
        <v>190</v>
      </c>
      <c r="O16" s="75">
        <v>168</v>
      </c>
      <c r="P16" s="75">
        <v>163</v>
      </c>
      <c r="Q16" s="75">
        <v>107</v>
      </c>
      <c r="R16" s="75">
        <v>104</v>
      </c>
      <c r="S16" s="75">
        <v>94</v>
      </c>
      <c r="T16" s="75">
        <v>84</v>
      </c>
      <c r="U16" s="75">
        <v>86</v>
      </c>
      <c r="V16" s="75">
        <v>86</v>
      </c>
      <c r="W16" s="75">
        <v>85</v>
      </c>
      <c r="X16" s="75">
        <v>81</v>
      </c>
      <c r="Y16" s="75">
        <v>70</v>
      </c>
      <c r="Z16" s="122">
        <v>71</v>
      </c>
      <c r="AA16" s="75">
        <f>IF(AND(Z16=0,Y16=0),0,IF(OR(AND(Z16&gt;0,Y16&lt;=0),AND(Z16&lt;0,Y16&gt;=0)),"nm",IF(AND(Z16&lt;0,Y16&lt;0),IF(-(Z16/Y16-1)*100&lt;-100,"(&gt;100)",-(Z16/Y16-1)*100),IF((Z16/Y16-1)*100&gt;100,"&gt;100",(Z16/Y16-1)*100))))</f>
        <v>1.4285714285714235</v>
      </c>
      <c r="AB16" s="75">
        <f>IF(AND(Z16=0,V16=0),0,IF(OR(AND(Z16&gt;0,V16&lt;=0),AND(Z16&lt;0,V16&gt;=0)),"nm",IF(AND(Z16&lt;0,V16&lt;0),IF(-(Z16/V16-1)*100&lt;-100,"(&gt;100)",-(Z16/V16-1)*100),IF((Z16/V16-1)*100&gt;100,"&gt;100",(Z16/V16-1)*100))))</f>
        <v>-17.441860465116278</v>
      </c>
      <c r="AD16" s="265">
        <v>86</v>
      </c>
      <c r="AE16" s="122">
        <v>70</v>
      </c>
      <c r="AF16" s="75">
        <f>IF(AND(AE16=0,AD16=0),0,IF(OR(AND(AE16&gt;0,AD16&lt;=0),AND(AE16&lt;0,AD16&gt;=0)),"nm",IF(AND(AE16&lt;0,AD16&lt;0),IF(-(AE16/AD16-1)*100&lt;-100,"(&gt;100)",-(AE16/AD16-1)*100),IF((AE16/AD16-1)*100&gt;100,"&gt;100",(AE16/AD16-1)*100))))</f>
        <v>-18.6046511627907</v>
      </c>
      <c r="AH16" s="18"/>
      <c r="AI16" s="18"/>
      <c r="AJ16" s="18"/>
      <c r="AK16" s="18"/>
    </row>
    <row r="17" spans="2:37" ht="15">
      <c r="B17" s="31"/>
      <c r="C17" s="22" t="s">
        <v>332</v>
      </c>
      <c r="D17" s="75">
        <v>701</v>
      </c>
      <c r="E17" s="75">
        <v>1410</v>
      </c>
      <c r="F17" s="75">
        <v>1105</v>
      </c>
      <c r="G17" s="75">
        <v>1141</v>
      </c>
      <c r="H17" s="121">
        <f>AE17</f>
        <v>1232</v>
      </c>
      <c r="J17" s="75">
        <v>855</v>
      </c>
      <c r="K17" s="75">
        <v>889</v>
      </c>
      <c r="L17" s="75">
        <v>1039</v>
      </c>
      <c r="M17" s="75">
        <v>1410</v>
      </c>
      <c r="N17" s="75">
        <v>1637</v>
      </c>
      <c r="O17" s="75">
        <v>1570</v>
      </c>
      <c r="P17" s="75">
        <v>1215</v>
      </c>
      <c r="Q17" s="75">
        <v>1105</v>
      </c>
      <c r="R17" s="75">
        <v>1058</v>
      </c>
      <c r="S17" s="75">
        <v>1069</v>
      </c>
      <c r="T17" s="75">
        <v>1059</v>
      </c>
      <c r="U17" s="75">
        <v>1141</v>
      </c>
      <c r="V17" s="75">
        <v>1134</v>
      </c>
      <c r="W17" s="75">
        <v>1197</v>
      </c>
      <c r="X17" s="75">
        <v>1183</v>
      </c>
      <c r="Y17" s="75">
        <v>1232</v>
      </c>
      <c r="Z17" s="122">
        <v>1178</v>
      </c>
      <c r="AA17" s="75">
        <f>IF(AND(Z17=0,Y17=0),0,IF(OR(AND(Z17&gt;0,Y17&lt;=0),AND(Z17&lt;0,Y17&gt;=0)),"nm",IF(AND(Z17&lt;0,Y17&lt;0),IF(-(Z17/Y17-1)*100&lt;-100,"(&gt;100)",-(Z17/Y17-1)*100),IF((Z17/Y17-1)*100&gt;100,"&gt;100",(Z17/Y17-1)*100))))</f>
        <v>-4.383116883116878</v>
      </c>
      <c r="AB17" s="75">
        <f>IF(AND(Z17=0,V17=0),0,IF(OR(AND(Z17&gt;0,V17&lt;=0),AND(Z17&lt;0,V17&gt;=0)),"nm",IF(AND(Z17&lt;0,V17&lt;0),IF(-(Z17/V17-1)*100&lt;-100,"(&gt;100)",-(Z17/V17-1)*100),IF((Z17/V17-1)*100&gt;100,"&gt;100",(Z17/V17-1)*100))))</f>
        <v>3.8800705467372243</v>
      </c>
      <c r="AD17" s="265">
        <v>1141</v>
      </c>
      <c r="AE17" s="122">
        <v>1232</v>
      </c>
      <c r="AF17" s="75">
        <f>IF(AND(AE17=0,AD17=0),0,IF(OR(AND(AE17&gt;0,AD17&lt;=0),AND(AE17&lt;0,AD17&gt;=0)),"nm",IF(AND(AE17&lt;0,AD17&lt;0),IF(-(AE17/AD17-1)*100&lt;-100,"(&gt;100)",-(AE17/AD17-1)*100),IF((AE17/AD17-1)*100&gt;100,"&gt;100",(AE17/AD17-1)*100))))</f>
        <v>7.975460122699385</v>
      </c>
      <c r="AH17" s="18"/>
      <c r="AI17" s="18"/>
      <c r="AJ17" s="18"/>
      <c r="AK17" s="18"/>
    </row>
    <row r="18" spans="2:37" ht="8.25" customHeight="1" hidden="1">
      <c r="B18" s="36"/>
      <c r="C18" s="92"/>
      <c r="D18" s="75"/>
      <c r="F18" s="75">
        <v>0</v>
      </c>
      <c r="H18" s="121"/>
      <c r="Z18" s="122"/>
      <c r="AE18" s="122"/>
      <c r="AH18" s="18"/>
      <c r="AI18" s="18"/>
      <c r="AJ18" s="18"/>
      <c r="AK18" s="18"/>
    </row>
    <row r="19" spans="2:37" ht="15">
      <c r="B19" s="58" t="s">
        <v>81</v>
      </c>
      <c r="C19" s="22"/>
      <c r="D19" s="75"/>
      <c r="H19" s="121"/>
      <c r="Z19" s="122"/>
      <c r="AE19" s="122"/>
      <c r="AH19" s="18"/>
      <c r="AI19" s="18"/>
      <c r="AJ19" s="18"/>
      <c r="AK19" s="18"/>
    </row>
    <row r="20" spans="2:37" ht="15">
      <c r="B20" s="36"/>
      <c r="C20" s="22" t="s">
        <v>48</v>
      </c>
      <c r="D20" s="75">
        <v>271</v>
      </c>
      <c r="E20" s="75">
        <v>213</v>
      </c>
      <c r="F20" s="75">
        <v>196</v>
      </c>
      <c r="G20" s="75">
        <v>184</v>
      </c>
      <c r="H20" s="121">
        <f>AE20</f>
        <v>130</v>
      </c>
      <c r="J20" s="75">
        <v>316</v>
      </c>
      <c r="K20" s="75">
        <v>190</v>
      </c>
      <c r="L20" s="75">
        <v>208</v>
      </c>
      <c r="M20" s="75">
        <v>213</v>
      </c>
      <c r="N20" s="75">
        <v>211</v>
      </c>
      <c r="O20" s="75">
        <v>203</v>
      </c>
      <c r="P20" s="75">
        <v>195</v>
      </c>
      <c r="Q20" s="75">
        <v>196</v>
      </c>
      <c r="R20" s="75">
        <v>193</v>
      </c>
      <c r="S20" s="75">
        <v>189</v>
      </c>
      <c r="T20" s="75">
        <v>141</v>
      </c>
      <c r="U20" s="75">
        <v>184</v>
      </c>
      <c r="V20" s="75">
        <v>190</v>
      </c>
      <c r="W20" s="75">
        <v>196</v>
      </c>
      <c r="X20" s="75">
        <v>185</v>
      </c>
      <c r="Y20" s="75">
        <v>130</v>
      </c>
      <c r="Z20" s="122">
        <v>127</v>
      </c>
      <c r="AA20" s="75">
        <f>IF(AND(Z20=0,Y20=0),0,IF(OR(AND(Z20&gt;0,Y20&lt;=0),AND(Z20&lt;0,Y20&gt;=0)),"nm",IF(AND(Z20&lt;0,Y20&lt;0),IF(-(Z20/Y20-1)*100&lt;-100,"(&gt;100)",-(Z20/Y20-1)*100),IF((Z20/Y20-1)*100&gt;100,"&gt;100",(Z20/Y20-1)*100))))</f>
        <v>-2.3076923076923106</v>
      </c>
      <c r="AB20" s="75">
        <f>IF(AND(Z20=0,V20=0),0,IF(OR(AND(Z20&gt;0,V20&lt;=0),AND(Z20&lt;0,V20&gt;=0)),"nm",IF(AND(Z20&lt;0,V20&lt;0),IF(-(Z20/V20-1)*100&lt;-100,"(&gt;100)",-(Z20/V20-1)*100),IF((Z20/V20-1)*100&gt;100,"&gt;100",(Z20/V20-1)*100))))</f>
        <v>-33.15789473684211</v>
      </c>
      <c r="AD20" s="75">
        <v>184</v>
      </c>
      <c r="AE20" s="122">
        <v>130</v>
      </c>
      <c r="AF20" s="75">
        <f>IF(AND(AE20=0,AD20=0),0,IF(OR(AND(AE20&gt;0,AD20&lt;=0),AND(AE20&lt;0,AD20&gt;=0)),"nm",IF(AND(AE20&lt;0,AD20&lt;0),IF(-(AE20/AD20-1)*100&lt;-100,"(&gt;100)",-(AE20/AD20-1)*100),IF((AE20/AD20-1)*100&gt;100,"&gt;100",(AE20/AD20-1)*100))))</f>
        <v>-29.34782608695652</v>
      </c>
      <c r="AH20" s="18"/>
      <c r="AI20" s="18"/>
      <c r="AJ20" s="18"/>
      <c r="AK20" s="18"/>
    </row>
    <row r="21" spans="2:37" ht="15">
      <c r="B21" s="36"/>
      <c r="C21" s="93" t="s">
        <v>49</v>
      </c>
      <c r="D21" s="75">
        <v>313</v>
      </c>
      <c r="E21" s="75">
        <v>327</v>
      </c>
      <c r="F21" s="75">
        <v>212</v>
      </c>
      <c r="G21" s="75">
        <v>176</v>
      </c>
      <c r="H21" s="121">
        <f>AE21</f>
        <v>126</v>
      </c>
      <c r="J21" s="75">
        <v>381</v>
      </c>
      <c r="K21" s="75">
        <v>394</v>
      </c>
      <c r="L21" s="75">
        <v>375</v>
      </c>
      <c r="M21" s="75">
        <v>327</v>
      </c>
      <c r="N21" s="75">
        <v>308</v>
      </c>
      <c r="O21" s="75">
        <v>253</v>
      </c>
      <c r="P21" s="75">
        <v>226</v>
      </c>
      <c r="Q21" s="75">
        <v>212</v>
      </c>
      <c r="R21" s="75">
        <v>186</v>
      </c>
      <c r="S21" s="75">
        <v>169</v>
      </c>
      <c r="T21" s="75">
        <v>173</v>
      </c>
      <c r="U21" s="75">
        <v>176</v>
      </c>
      <c r="V21" s="75">
        <v>164</v>
      </c>
      <c r="W21" s="75">
        <v>159</v>
      </c>
      <c r="X21" s="75">
        <v>145</v>
      </c>
      <c r="Y21" s="75">
        <v>126</v>
      </c>
      <c r="Z21" s="122">
        <v>129</v>
      </c>
      <c r="AA21" s="75">
        <f>IF(AND(Z21=0,Y21=0),0,IF(OR(AND(Z21&gt;0,Y21&lt;=0),AND(Z21&lt;0,Y21&gt;=0)),"nm",IF(AND(Z21&lt;0,Y21&lt;0),IF(-(Z21/Y21-1)*100&lt;-100,"(&gt;100)",-(Z21/Y21-1)*100),IF((Z21/Y21-1)*100&gt;100,"&gt;100",(Z21/Y21-1)*100))))</f>
        <v>2.3809523809523725</v>
      </c>
      <c r="AB21" s="75">
        <f>IF(AND(Z21=0,V21=0),0,IF(OR(AND(Z21&gt;0,V21&lt;=0),AND(Z21&lt;0,V21&gt;=0)),"nm",IF(AND(Z21&lt;0,V21&lt;0),IF(-(Z21/V21-1)*100&lt;-100,"(&gt;100)",-(Z21/V21-1)*100),IF((Z21/V21-1)*100&gt;100,"&gt;100",(Z21/V21-1)*100))))</f>
        <v>-21.34146341463414</v>
      </c>
      <c r="AD21" s="75">
        <v>176</v>
      </c>
      <c r="AE21" s="122">
        <v>126</v>
      </c>
      <c r="AF21" s="75">
        <f>IF(AND(AE21=0,AD21=0),0,IF(OR(AND(AE21&gt;0,AD21&lt;=0),AND(AE21&lt;0,AD21&gt;=0)),"nm",IF(AND(AE21&lt;0,AD21&lt;0),IF(-(AE21/AD21-1)*100&lt;-100,"(&gt;100)",-(AE21/AD21-1)*100),IF((AE21/AD21-1)*100&gt;100,"&gt;100",(AE21/AD21-1)*100))))</f>
        <v>-28.409090909090907</v>
      </c>
      <c r="AH21" s="18"/>
      <c r="AI21" s="18"/>
      <c r="AJ21" s="18"/>
      <c r="AK21" s="18"/>
    </row>
    <row r="22" spans="2:37" ht="15">
      <c r="B22" s="36"/>
      <c r="C22" s="93" t="s">
        <v>76</v>
      </c>
      <c r="D22" s="75">
        <v>241</v>
      </c>
      <c r="E22" s="75">
        <v>213</v>
      </c>
      <c r="F22" s="75">
        <v>166</v>
      </c>
      <c r="G22" s="75">
        <v>132</v>
      </c>
      <c r="H22" s="121">
        <f>AE22</f>
        <v>129</v>
      </c>
      <c r="J22" s="75">
        <v>249</v>
      </c>
      <c r="K22" s="75">
        <v>229</v>
      </c>
      <c r="L22" s="75">
        <v>198</v>
      </c>
      <c r="M22" s="75">
        <v>213</v>
      </c>
      <c r="N22" s="75">
        <v>199</v>
      </c>
      <c r="O22" s="75">
        <v>190</v>
      </c>
      <c r="P22" s="75">
        <v>190</v>
      </c>
      <c r="Q22" s="75">
        <v>166</v>
      </c>
      <c r="R22" s="75">
        <v>155</v>
      </c>
      <c r="S22" s="75">
        <v>151</v>
      </c>
      <c r="T22" s="75">
        <v>129</v>
      </c>
      <c r="U22" s="75">
        <v>132</v>
      </c>
      <c r="V22" s="75">
        <v>131</v>
      </c>
      <c r="W22" s="75">
        <v>131</v>
      </c>
      <c r="X22" s="75">
        <v>115</v>
      </c>
      <c r="Y22" s="75">
        <v>129</v>
      </c>
      <c r="Z22" s="122">
        <v>120</v>
      </c>
      <c r="AA22" s="75">
        <f>IF(AND(Z22=0,Y22=0),0,IF(OR(AND(Z22&gt;0,Y22&lt;=0),AND(Z22&lt;0,Y22&gt;=0)),"nm",IF(AND(Z22&lt;0,Y22&lt;0),IF(-(Z22/Y22-1)*100&lt;-100,"(&gt;100)",-(Z22/Y22-1)*100),IF((Z22/Y22-1)*100&gt;100,"&gt;100",(Z22/Y22-1)*100))))</f>
        <v>-6.976744186046513</v>
      </c>
      <c r="AB22" s="75">
        <f>IF(AND(Z22=0,V22=0),0,IF(OR(AND(Z22&gt;0,V22&lt;=0),AND(Z22&lt;0,V22&gt;=0)),"nm",IF(AND(Z22&lt;0,V22&lt;0),IF(-(Z22/V22-1)*100&lt;-100,"(&gt;100)",-(Z22/V22-1)*100),IF((Z22/V22-1)*100&gt;100,"&gt;100",(Z22/V22-1)*100))))</f>
        <v>-8.3969465648855</v>
      </c>
      <c r="AD22" s="75">
        <v>132</v>
      </c>
      <c r="AE22" s="122">
        <v>129</v>
      </c>
      <c r="AF22" s="75">
        <f>IF(AND(AE22=0,AD22=0),0,IF(OR(AND(AE22&gt;0,AD22&lt;=0),AND(AE22&lt;0,AD22&gt;=0)),"nm",IF(AND(AE22&lt;0,AD22&lt;0),IF(-(AE22/AD22-1)*100&lt;-100,"(&gt;100)",-(AE22/AD22-1)*100),IF((AE22/AD22-1)*100&gt;100,"&gt;100",(AE22/AD22-1)*100))))</f>
        <v>-2.2727272727272707</v>
      </c>
      <c r="AH22" s="18"/>
      <c r="AI22" s="18"/>
      <c r="AJ22" s="18"/>
      <c r="AK22" s="18"/>
    </row>
    <row r="23" spans="2:37" ht="15">
      <c r="B23" s="36"/>
      <c r="C23" s="93" t="s">
        <v>74</v>
      </c>
      <c r="D23" s="75">
        <v>59</v>
      </c>
      <c r="E23" s="75">
        <v>82</v>
      </c>
      <c r="F23" s="75">
        <v>107</v>
      </c>
      <c r="G23" s="75">
        <v>111</v>
      </c>
      <c r="H23" s="121">
        <f>AE23</f>
        <v>130</v>
      </c>
      <c r="J23" s="75">
        <v>72</v>
      </c>
      <c r="K23" s="75">
        <v>79</v>
      </c>
      <c r="L23" s="75">
        <v>72</v>
      </c>
      <c r="M23" s="75">
        <v>82</v>
      </c>
      <c r="N23" s="75">
        <v>72</v>
      </c>
      <c r="O23" s="75">
        <v>80</v>
      </c>
      <c r="P23" s="75">
        <v>92</v>
      </c>
      <c r="Q23" s="75">
        <v>107</v>
      </c>
      <c r="R23" s="75">
        <v>99</v>
      </c>
      <c r="S23" s="75">
        <v>98</v>
      </c>
      <c r="T23" s="75">
        <v>107</v>
      </c>
      <c r="U23" s="75">
        <v>111</v>
      </c>
      <c r="V23" s="75">
        <v>107</v>
      </c>
      <c r="W23" s="75">
        <v>115</v>
      </c>
      <c r="X23" s="75">
        <v>129</v>
      </c>
      <c r="Y23" s="75">
        <v>130</v>
      </c>
      <c r="Z23" s="122">
        <v>169</v>
      </c>
      <c r="AA23" s="75">
        <f>IF(AND(Z23=0,Y23=0),0,IF(OR(AND(Z23&gt;0,Y23&lt;=0),AND(Z23&lt;0,Y23&gt;=0)),"nm",IF(AND(Z23&lt;0,Y23&lt;0),IF(-(Z23/Y23-1)*100&lt;-100,"(&gt;100)",-(Z23/Y23-1)*100),IF((Z23/Y23-1)*100&gt;100,"&gt;100",(Z23/Y23-1)*100))))</f>
        <v>30.000000000000004</v>
      </c>
      <c r="AB23" s="75">
        <f>IF(AND(Z23=0,V23=0),0,IF(OR(AND(Z23&gt;0,V23&lt;=0),AND(Z23&lt;0,V23&gt;=0)),"nm",IF(AND(Z23&lt;0,V23&lt;0),IF(-(Z23/V23-1)*100&lt;-100,"(&gt;100)",-(Z23/V23-1)*100),IF((Z23/V23-1)*100&gt;100,"&gt;100",(Z23/V23-1)*100))))</f>
        <v>57.94392523364487</v>
      </c>
      <c r="AD23" s="75">
        <v>111</v>
      </c>
      <c r="AE23" s="122">
        <v>130</v>
      </c>
      <c r="AF23" s="75">
        <f>IF(AND(AE23=0,AD23=0),0,IF(OR(AND(AE23&gt;0,AD23&lt;=0),AND(AE23&lt;0,AD23&gt;=0)),"nm",IF(AND(AE23&lt;0,AD23&lt;0),IF(-(AE23/AD23-1)*100&lt;-100,"(&gt;100)",-(AE23/AD23-1)*100),IF((AE23/AD23-1)*100&gt;100,"&gt;100",(AE23/AD23-1)*100))))</f>
        <v>17.117117117117118</v>
      </c>
      <c r="AH23" s="18"/>
      <c r="AI23" s="18"/>
      <c r="AJ23" s="18"/>
      <c r="AK23" s="18"/>
    </row>
    <row r="24" spans="2:37" ht="15">
      <c r="B24" s="36"/>
      <c r="C24" s="93" t="s">
        <v>77</v>
      </c>
      <c r="D24" s="75">
        <v>36</v>
      </c>
      <c r="E24" s="75">
        <v>770</v>
      </c>
      <c r="F24" s="75">
        <v>531</v>
      </c>
      <c r="G24" s="75">
        <v>624</v>
      </c>
      <c r="H24" s="121">
        <f>AE24</f>
        <v>787</v>
      </c>
      <c r="J24" s="75">
        <v>97</v>
      </c>
      <c r="K24" s="75">
        <v>259</v>
      </c>
      <c r="L24" s="75">
        <v>435</v>
      </c>
      <c r="M24" s="75">
        <v>770</v>
      </c>
      <c r="N24" s="75">
        <v>1037</v>
      </c>
      <c r="O24" s="75">
        <v>1012</v>
      </c>
      <c r="P24" s="75">
        <v>675</v>
      </c>
      <c r="Q24" s="75">
        <v>531</v>
      </c>
      <c r="R24" s="75">
        <v>529</v>
      </c>
      <c r="S24" s="75">
        <v>556</v>
      </c>
      <c r="T24" s="75">
        <v>593</v>
      </c>
      <c r="U24" s="75">
        <v>624</v>
      </c>
      <c r="V24" s="75">
        <v>628</v>
      </c>
      <c r="W24" s="75">
        <v>681</v>
      </c>
      <c r="X24" s="75">
        <v>690</v>
      </c>
      <c r="Y24" s="75">
        <v>787</v>
      </c>
      <c r="Z24" s="122">
        <v>704</v>
      </c>
      <c r="AA24" s="75">
        <f>IF(AND(Z24=0,Y24=0),0,IF(OR(AND(Z24&gt;0,Y24&lt;=0),AND(Z24&lt;0,Y24&gt;=0)),"nm",IF(AND(Z24&lt;0,Y24&lt;0),IF(-(Z24/Y24-1)*100&lt;-100,"(&gt;100)",-(Z24/Y24-1)*100),IF((Z24/Y24-1)*100&gt;100,"&gt;100",(Z24/Y24-1)*100))))</f>
        <v>-10.546378653113086</v>
      </c>
      <c r="AB24" s="75">
        <f>IF(AND(Z24=0,V24=0),0,IF(OR(AND(Z24&gt;0,V24&lt;=0),AND(Z24&lt;0,V24&gt;=0)),"nm",IF(AND(Z24&lt;0,V24&lt;0),IF(-(Z24/V24-1)*100&lt;-100,"(&gt;100)",-(Z24/V24-1)*100),IF((Z24/V24-1)*100&gt;100,"&gt;100",(Z24/V24-1)*100))))</f>
        <v>12.101910828025474</v>
      </c>
      <c r="AD24" s="75">
        <v>624</v>
      </c>
      <c r="AE24" s="122">
        <v>787</v>
      </c>
      <c r="AF24" s="75">
        <f>IF(AND(AE24=0,AD24=0),0,IF(OR(AND(AE24&gt;0,AD24&lt;=0),AND(AE24&lt;0,AD24&gt;=0)),"nm",IF(AND(AE24&lt;0,AD24&lt;0),IF(-(AE24/AD24-1)*100&lt;-100,"(&gt;100)",-(AE24/AD24-1)*100),IF((AE24/AD24-1)*100&gt;100,"&gt;100",(AE24/AD24-1)*100))))</f>
        <v>26.12179487179487</v>
      </c>
      <c r="AH24" s="18"/>
      <c r="AI24" s="18"/>
      <c r="AJ24" s="18"/>
      <c r="AK24" s="18"/>
    </row>
    <row r="25" spans="2:37" ht="15">
      <c r="B25" s="91" t="s">
        <v>89</v>
      </c>
      <c r="C25" s="22"/>
      <c r="D25" s="75"/>
      <c r="H25" s="121"/>
      <c r="Z25" s="477"/>
      <c r="AE25" s="122"/>
      <c r="AH25" s="18"/>
      <c r="AI25" s="18"/>
      <c r="AJ25" s="18"/>
      <c r="AK25" s="18"/>
    </row>
    <row r="26" spans="2:37" ht="15">
      <c r="B26" s="36"/>
      <c r="C26" s="94" t="s">
        <v>83</v>
      </c>
      <c r="D26" s="75">
        <v>351</v>
      </c>
      <c r="E26" s="75">
        <v>386</v>
      </c>
      <c r="F26" s="75">
        <v>325</v>
      </c>
      <c r="G26" s="75">
        <v>241</v>
      </c>
      <c r="H26" s="121">
        <f aca="true" t="shared" si="4" ref="H26:H36">AE26</f>
        <v>240</v>
      </c>
      <c r="J26" s="75">
        <v>381</v>
      </c>
      <c r="K26" s="75">
        <v>361</v>
      </c>
      <c r="L26" s="75">
        <v>349</v>
      </c>
      <c r="M26" s="75">
        <v>386</v>
      </c>
      <c r="N26" s="75">
        <v>375</v>
      </c>
      <c r="O26" s="75">
        <v>351</v>
      </c>
      <c r="P26" s="75">
        <v>330</v>
      </c>
      <c r="Q26" s="75">
        <v>325</v>
      </c>
      <c r="R26" s="75">
        <v>284</v>
      </c>
      <c r="S26" s="75">
        <v>280</v>
      </c>
      <c r="T26" s="75">
        <v>257</v>
      </c>
      <c r="U26" s="75">
        <v>241</v>
      </c>
      <c r="V26" s="75">
        <v>232</v>
      </c>
      <c r="W26" s="75">
        <v>241</v>
      </c>
      <c r="X26" s="75">
        <v>234</v>
      </c>
      <c r="Y26" s="75">
        <v>240</v>
      </c>
      <c r="Z26" s="122">
        <v>247</v>
      </c>
      <c r="AA26" s="75">
        <f aca="true" t="shared" si="5" ref="AA26:AA36">IF(AND(Z26=0,Y26=0),0,IF(OR(AND(Z26&gt;0,Y26&lt;=0),AND(Z26&lt;0,Y26&gt;=0)),"nm",IF(AND(Z26&lt;0,Y26&lt;0),IF(-(Z26/Y26-1)*100&lt;-100,"(&gt;100)",-(Z26/Y26-1)*100),IF((Z26/Y26-1)*100&gt;100,"&gt;100",(Z26/Y26-1)*100))))</f>
        <v>2.9166666666666563</v>
      </c>
      <c r="AB26" s="75">
        <f aca="true" t="shared" si="6" ref="AB26:AB36">IF(AND(Z26=0,V26=0),0,IF(OR(AND(Z26&gt;0,V26&lt;=0),AND(Z26&lt;0,V26&gt;=0)),"nm",IF(AND(Z26&lt;0,V26&lt;0),IF(-(Z26/V26-1)*100&lt;-100,"(&gt;100)",-(Z26/V26-1)*100),IF((Z26/V26-1)*100&gt;100,"&gt;100",(Z26/V26-1)*100))))</f>
        <v>6.465517241379315</v>
      </c>
      <c r="AD26" s="75">
        <v>241</v>
      </c>
      <c r="AE26" s="122">
        <v>240</v>
      </c>
      <c r="AF26" s="75">
        <f aca="true" t="shared" si="7" ref="AF26:AF34">IF(AND(AE26=0,AD26=0),0,IF(OR(AND(AE26&gt;0,AD26&lt;=0),AND(AE26&lt;0,AD26&gt;=0)),"nm",IF(AND(AE26&lt;0,AD26&lt;0),IF(-(AE26/AD26-1)*100&lt;-100,"(&gt;100)",-(AE26/AD26-1)*100),IF((AE26/AD26-1)*100&gt;100,"&gt;100",(AE26/AD26-1)*100))))</f>
        <v>-0.4149377593360981</v>
      </c>
      <c r="AH26" s="18"/>
      <c r="AI26" s="18"/>
      <c r="AJ26" s="18"/>
      <c r="AK26" s="18"/>
    </row>
    <row r="27" spans="3:37" ht="15">
      <c r="C27" s="94" t="s">
        <v>84</v>
      </c>
      <c r="D27" s="75">
        <v>30</v>
      </c>
      <c r="E27" s="75">
        <v>22</v>
      </c>
      <c r="F27" s="75">
        <v>25</v>
      </c>
      <c r="G27" s="75">
        <v>38</v>
      </c>
      <c r="H27" s="121">
        <f t="shared" si="4"/>
        <v>38</v>
      </c>
      <c r="J27" s="75">
        <v>44</v>
      </c>
      <c r="K27" s="75">
        <v>46</v>
      </c>
      <c r="L27" s="75">
        <v>24</v>
      </c>
      <c r="M27" s="75">
        <v>22</v>
      </c>
      <c r="N27" s="75">
        <v>24</v>
      </c>
      <c r="O27" s="75">
        <v>13</v>
      </c>
      <c r="P27" s="75">
        <v>12</v>
      </c>
      <c r="Q27" s="75">
        <v>25</v>
      </c>
      <c r="R27" s="75">
        <v>32</v>
      </c>
      <c r="S27" s="75">
        <v>32</v>
      </c>
      <c r="T27" s="75">
        <v>33</v>
      </c>
      <c r="U27" s="75">
        <v>38</v>
      </c>
      <c r="V27" s="75">
        <v>38</v>
      </c>
      <c r="W27" s="75">
        <v>38</v>
      </c>
      <c r="X27" s="75">
        <v>37</v>
      </c>
      <c r="Y27" s="75">
        <v>38</v>
      </c>
      <c r="Z27" s="122">
        <v>39</v>
      </c>
      <c r="AA27" s="75">
        <f t="shared" si="5"/>
        <v>2.6315789473684292</v>
      </c>
      <c r="AB27" s="75">
        <f t="shared" si="6"/>
        <v>2.6315789473684292</v>
      </c>
      <c r="AD27" s="75">
        <v>38</v>
      </c>
      <c r="AE27" s="122">
        <v>38</v>
      </c>
      <c r="AF27" s="75">
        <f t="shared" si="7"/>
        <v>0</v>
      </c>
      <c r="AH27" s="18"/>
      <c r="AI27" s="18"/>
      <c r="AJ27" s="18"/>
      <c r="AK27" s="18"/>
    </row>
    <row r="28" spans="3:37" ht="15">
      <c r="C28" s="94" t="s">
        <v>85</v>
      </c>
      <c r="D28" s="75">
        <v>43</v>
      </c>
      <c r="E28" s="75">
        <v>30</v>
      </c>
      <c r="F28" s="75">
        <v>17</v>
      </c>
      <c r="G28" s="75">
        <v>13</v>
      </c>
      <c r="H28" s="121">
        <f t="shared" si="4"/>
        <v>12</v>
      </c>
      <c r="J28" s="75">
        <v>42</v>
      </c>
      <c r="K28" s="75">
        <v>42</v>
      </c>
      <c r="L28" s="75">
        <v>41</v>
      </c>
      <c r="M28" s="75">
        <v>30</v>
      </c>
      <c r="N28" s="75">
        <v>27</v>
      </c>
      <c r="O28" s="75">
        <v>21</v>
      </c>
      <c r="P28" s="75">
        <v>19</v>
      </c>
      <c r="Q28" s="75">
        <v>17</v>
      </c>
      <c r="R28" s="75">
        <v>16</v>
      </c>
      <c r="S28" s="75">
        <v>14</v>
      </c>
      <c r="T28" s="75">
        <v>13</v>
      </c>
      <c r="U28" s="75">
        <v>13</v>
      </c>
      <c r="V28" s="75">
        <v>11</v>
      </c>
      <c r="W28" s="75">
        <v>12</v>
      </c>
      <c r="X28" s="75">
        <v>12</v>
      </c>
      <c r="Y28" s="75">
        <v>12</v>
      </c>
      <c r="Z28" s="122">
        <v>12</v>
      </c>
      <c r="AA28" s="75">
        <f t="shared" si="5"/>
        <v>0</v>
      </c>
      <c r="AB28" s="75">
        <f t="shared" si="6"/>
        <v>9.090909090909083</v>
      </c>
      <c r="AD28" s="75">
        <v>13</v>
      </c>
      <c r="AE28" s="122">
        <v>12</v>
      </c>
      <c r="AF28" s="75">
        <f t="shared" si="7"/>
        <v>-7.692307692307687</v>
      </c>
      <c r="AH28" s="18"/>
      <c r="AI28" s="18"/>
      <c r="AJ28" s="18"/>
      <c r="AK28" s="18"/>
    </row>
    <row r="29" spans="3:37" ht="15">
      <c r="C29" s="94" t="s">
        <v>86</v>
      </c>
      <c r="D29" s="75">
        <v>187</v>
      </c>
      <c r="E29" s="75">
        <v>238</v>
      </c>
      <c r="F29" s="75">
        <v>107</v>
      </c>
      <c r="G29" s="75">
        <v>131</v>
      </c>
      <c r="H29" s="121">
        <f t="shared" si="4"/>
        <v>155</v>
      </c>
      <c r="J29" s="75">
        <v>226</v>
      </c>
      <c r="K29" s="75">
        <v>185</v>
      </c>
      <c r="L29" s="75">
        <v>177</v>
      </c>
      <c r="M29" s="75">
        <v>238</v>
      </c>
      <c r="N29" s="75">
        <v>280</v>
      </c>
      <c r="O29" s="75">
        <v>197</v>
      </c>
      <c r="P29" s="75">
        <v>161</v>
      </c>
      <c r="Q29" s="75">
        <v>107</v>
      </c>
      <c r="R29" s="75">
        <v>120</v>
      </c>
      <c r="S29" s="75">
        <v>105</v>
      </c>
      <c r="T29" s="75">
        <v>123</v>
      </c>
      <c r="U29" s="75">
        <v>131</v>
      </c>
      <c r="V29" s="75">
        <v>142</v>
      </c>
      <c r="W29" s="75">
        <v>142</v>
      </c>
      <c r="X29" s="75">
        <v>140</v>
      </c>
      <c r="Y29" s="75">
        <v>155</v>
      </c>
      <c r="Z29" s="122">
        <v>201</v>
      </c>
      <c r="AA29" s="75">
        <f t="shared" si="5"/>
        <v>29.67741935483872</v>
      </c>
      <c r="AB29" s="75">
        <f t="shared" si="6"/>
        <v>41.549295774647874</v>
      </c>
      <c r="AD29" s="75">
        <v>131</v>
      </c>
      <c r="AE29" s="122">
        <v>155</v>
      </c>
      <c r="AF29" s="75">
        <f t="shared" si="7"/>
        <v>18.32061068702291</v>
      </c>
      <c r="AH29" s="18"/>
      <c r="AI29" s="18"/>
      <c r="AJ29" s="18"/>
      <c r="AK29" s="18"/>
    </row>
    <row r="30" spans="3:37" ht="15">
      <c r="C30" s="94" t="s">
        <v>87</v>
      </c>
      <c r="D30" s="75">
        <v>6</v>
      </c>
      <c r="E30" s="75">
        <v>97</v>
      </c>
      <c r="F30" s="75">
        <v>183</v>
      </c>
      <c r="G30" s="75">
        <v>285</v>
      </c>
      <c r="H30" s="121">
        <f t="shared" si="4"/>
        <v>378</v>
      </c>
      <c r="J30" s="75">
        <v>7</v>
      </c>
      <c r="K30" s="75">
        <v>10</v>
      </c>
      <c r="L30" s="75">
        <v>39</v>
      </c>
      <c r="M30" s="75">
        <v>97</v>
      </c>
      <c r="N30" s="75">
        <v>121</v>
      </c>
      <c r="O30" s="75">
        <v>115</v>
      </c>
      <c r="P30" s="75">
        <v>150</v>
      </c>
      <c r="Q30" s="75">
        <v>183</v>
      </c>
      <c r="R30" s="75">
        <v>212</v>
      </c>
      <c r="S30" s="75">
        <v>229</v>
      </c>
      <c r="T30" s="75">
        <v>205</v>
      </c>
      <c r="U30" s="75">
        <v>285</v>
      </c>
      <c r="V30" s="75">
        <v>422</v>
      </c>
      <c r="W30" s="121">
        <v>462</v>
      </c>
      <c r="X30" s="121">
        <v>474</v>
      </c>
      <c r="Y30" s="75">
        <v>520</v>
      </c>
      <c r="Z30" s="122">
        <v>524</v>
      </c>
      <c r="AA30" s="75">
        <f t="shared" si="5"/>
        <v>0.7692307692307665</v>
      </c>
      <c r="AB30" s="75">
        <f t="shared" si="6"/>
        <v>24.17061611374407</v>
      </c>
      <c r="AD30" s="75">
        <v>285</v>
      </c>
      <c r="AE30" s="122">
        <v>378</v>
      </c>
      <c r="AF30" s="75">
        <f t="shared" si="7"/>
        <v>32.63157894736841</v>
      </c>
      <c r="AH30" s="18"/>
      <c r="AI30" s="18"/>
      <c r="AJ30" s="18"/>
      <c r="AK30" s="18"/>
    </row>
    <row r="31" spans="3:37" ht="15">
      <c r="C31" s="94" t="s">
        <v>88</v>
      </c>
      <c r="D31" s="75">
        <v>66</v>
      </c>
      <c r="E31" s="75">
        <v>621</v>
      </c>
      <c r="F31" s="75">
        <v>399</v>
      </c>
      <c r="G31" s="75">
        <v>400</v>
      </c>
      <c r="H31" s="121">
        <f t="shared" si="4"/>
        <v>407</v>
      </c>
      <c r="J31" s="75">
        <v>141</v>
      </c>
      <c r="K31" s="75">
        <v>236</v>
      </c>
      <c r="L31" s="75">
        <v>369</v>
      </c>
      <c r="M31" s="75">
        <v>621</v>
      </c>
      <c r="N31" s="75">
        <v>818</v>
      </c>
      <c r="O31" s="75">
        <v>882</v>
      </c>
      <c r="P31" s="75">
        <v>545</v>
      </c>
      <c r="Q31" s="75">
        <v>399</v>
      </c>
      <c r="R31" s="75">
        <v>374</v>
      </c>
      <c r="S31" s="75">
        <v>366</v>
      </c>
      <c r="T31" s="75">
        <v>387</v>
      </c>
      <c r="U31" s="75">
        <v>400</v>
      </c>
      <c r="V31" s="75">
        <v>254</v>
      </c>
      <c r="W31" s="121">
        <v>278</v>
      </c>
      <c r="X31" s="121">
        <v>267</v>
      </c>
      <c r="Y31" s="75">
        <v>265</v>
      </c>
      <c r="Z31" s="122">
        <v>157</v>
      </c>
      <c r="AA31" s="75">
        <f t="shared" si="5"/>
        <v>-40.75471698113208</v>
      </c>
      <c r="AB31" s="75">
        <f t="shared" si="6"/>
        <v>-38.188976377952756</v>
      </c>
      <c r="AD31" s="75">
        <v>400</v>
      </c>
      <c r="AE31" s="122">
        <v>407</v>
      </c>
      <c r="AF31" s="75">
        <f t="shared" si="7"/>
        <v>1.750000000000007</v>
      </c>
      <c r="AH31" s="18"/>
      <c r="AI31" s="18"/>
      <c r="AJ31" s="18"/>
      <c r="AK31" s="18"/>
    </row>
    <row r="32" spans="3:37" ht="15">
      <c r="C32" s="94" t="s">
        <v>90</v>
      </c>
      <c r="D32" s="75">
        <v>129</v>
      </c>
      <c r="E32" s="75">
        <v>113</v>
      </c>
      <c r="F32" s="75">
        <v>74</v>
      </c>
      <c r="G32" s="75">
        <v>63</v>
      </c>
      <c r="H32" s="121">
        <f t="shared" si="4"/>
        <v>46</v>
      </c>
      <c r="J32" s="75">
        <v>151</v>
      </c>
      <c r="K32" s="75">
        <v>146</v>
      </c>
      <c r="L32" s="75">
        <v>138</v>
      </c>
      <c r="M32" s="75">
        <v>113</v>
      </c>
      <c r="N32" s="75">
        <v>94</v>
      </c>
      <c r="O32" s="75">
        <v>75</v>
      </c>
      <c r="P32" s="75">
        <v>74</v>
      </c>
      <c r="Q32" s="75">
        <v>74</v>
      </c>
      <c r="R32" s="75">
        <v>76</v>
      </c>
      <c r="S32" s="75">
        <v>69</v>
      </c>
      <c r="T32" s="75">
        <v>59</v>
      </c>
      <c r="U32" s="75">
        <v>63</v>
      </c>
      <c r="V32" s="75">
        <v>62</v>
      </c>
      <c r="W32" s="75">
        <v>60</v>
      </c>
      <c r="X32" s="75">
        <v>56</v>
      </c>
      <c r="Y32" s="75">
        <v>46</v>
      </c>
      <c r="Z32" s="122">
        <v>46</v>
      </c>
      <c r="AA32" s="75">
        <f t="shared" si="5"/>
        <v>0</v>
      </c>
      <c r="AB32" s="75">
        <f t="shared" si="6"/>
        <v>-25.806451612903224</v>
      </c>
      <c r="AD32" s="75">
        <v>63</v>
      </c>
      <c r="AE32" s="122">
        <v>46</v>
      </c>
      <c r="AF32" s="75">
        <f t="shared" si="7"/>
        <v>-26.984126984126988</v>
      </c>
      <c r="AH32" s="18"/>
      <c r="AI32" s="18"/>
      <c r="AJ32" s="18"/>
      <c r="AK32" s="18"/>
    </row>
    <row r="33" spans="3:37" ht="15">
      <c r="C33" s="94" t="s">
        <v>35</v>
      </c>
      <c r="D33" s="75">
        <v>108</v>
      </c>
      <c r="E33" s="75">
        <v>98</v>
      </c>
      <c r="F33" s="75">
        <v>82</v>
      </c>
      <c r="G33" s="75">
        <v>56</v>
      </c>
      <c r="H33" s="121">
        <f t="shared" si="4"/>
        <v>26</v>
      </c>
      <c r="J33" s="75">
        <v>123</v>
      </c>
      <c r="K33" s="75">
        <v>125</v>
      </c>
      <c r="L33" s="75">
        <v>151</v>
      </c>
      <c r="M33" s="75">
        <v>98</v>
      </c>
      <c r="N33" s="75">
        <v>88</v>
      </c>
      <c r="O33" s="75">
        <v>84</v>
      </c>
      <c r="P33" s="75">
        <v>87</v>
      </c>
      <c r="Q33" s="75">
        <v>82</v>
      </c>
      <c r="R33" s="75">
        <v>48</v>
      </c>
      <c r="S33" s="75">
        <v>68</v>
      </c>
      <c r="T33" s="75">
        <v>66</v>
      </c>
      <c r="U33" s="75">
        <v>56</v>
      </c>
      <c r="V33" s="75">
        <v>59</v>
      </c>
      <c r="W33" s="75">
        <v>49</v>
      </c>
      <c r="X33" s="75">
        <v>44</v>
      </c>
      <c r="Y33" s="75">
        <v>26</v>
      </c>
      <c r="Z33" s="122">
        <v>23</v>
      </c>
      <c r="AA33" s="75">
        <f t="shared" si="5"/>
        <v>-11.538461538461542</v>
      </c>
      <c r="AB33" s="75">
        <f t="shared" si="6"/>
        <v>-61.01694915254237</v>
      </c>
      <c r="AD33" s="75">
        <v>56</v>
      </c>
      <c r="AE33" s="122">
        <v>26</v>
      </c>
      <c r="AF33" s="75">
        <f t="shared" si="7"/>
        <v>-53.57142857142857</v>
      </c>
      <c r="AH33" s="18"/>
      <c r="AI33" s="18"/>
      <c r="AJ33" s="18"/>
      <c r="AK33" s="18"/>
    </row>
    <row r="34" spans="2:32" s="18" customFormat="1" ht="15">
      <c r="B34" s="18" t="s">
        <v>212</v>
      </c>
      <c r="C34" s="31"/>
      <c r="D34" s="17">
        <v>288</v>
      </c>
      <c r="E34" s="17">
        <v>203</v>
      </c>
      <c r="F34" s="17">
        <v>133</v>
      </c>
      <c r="G34" s="17">
        <v>94</v>
      </c>
      <c r="H34" s="17">
        <f t="shared" si="4"/>
        <v>53</v>
      </c>
      <c r="I34" s="17"/>
      <c r="J34" s="17">
        <v>305</v>
      </c>
      <c r="K34" s="17">
        <v>213</v>
      </c>
      <c r="L34" s="17">
        <v>233</v>
      </c>
      <c r="M34" s="17">
        <v>203</v>
      </c>
      <c r="N34" s="17">
        <v>207</v>
      </c>
      <c r="O34" s="17">
        <v>200</v>
      </c>
      <c r="P34" s="17">
        <v>189</v>
      </c>
      <c r="Q34" s="17">
        <v>133</v>
      </c>
      <c r="R34" s="17">
        <v>111</v>
      </c>
      <c r="S34" s="17">
        <v>112</v>
      </c>
      <c r="T34" s="17">
        <v>106</v>
      </c>
      <c r="U34" s="17">
        <v>94</v>
      </c>
      <c r="V34" s="17">
        <v>97</v>
      </c>
      <c r="W34" s="17">
        <v>69</v>
      </c>
      <c r="X34" s="17">
        <v>69</v>
      </c>
      <c r="Y34" s="17">
        <v>53</v>
      </c>
      <c r="Z34" s="125">
        <f>SUM(Z35:Z36)</f>
        <v>53</v>
      </c>
      <c r="AA34" s="17">
        <f t="shared" si="5"/>
        <v>0</v>
      </c>
      <c r="AB34" s="17">
        <f t="shared" si="6"/>
        <v>-45.36082474226804</v>
      </c>
      <c r="AC34" s="15"/>
      <c r="AD34" s="17">
        <v>94</v>
      </c>
      <c r="AE34" s="125">
        <f>SUM(AE35:AE36)</f>
        <v>53</v>
      </c>
      <c r="AF34" s="17">
        <f t="shared" si="7"/>
        <v>-43.61702127659575</v>
      </c>
    </row>
    <row r="35" spans="2:37" ht="15">
      <c r="B35" s="18"/>
      <c r="C35" s="36" t="s">
        <v>78</v>
      </c>
      <c r="D35" s="75">
        <v>236</v>
      </c>
      <c r="E35" s="75">
        <v>106</v>
      </c>
      <c r="F35" s="75">
        <v>6</v>
      </c>
      <c r="G35" s="75">
        <v>3</v>
      </c>
      <c r="H35" s="121">
        <f t="shared" si="4"/>
        <v>4</v>
      </c>
      <c r="J35" s="75">
        <v>251</v>
      </c>
      <c r="K35" s="75">
        <v>134</v>
      </c>
      <c r="L35" s="75">
        <v>131</v>
      </c>
      <c r="M35" s="75">
        <v>106</v>
      </c>
      <c r="N35" s="75">
        <v>104</v>
      </c>
      <c r="O35" s="75">
        <v>80</v>
      </c>
      <c r="P35" s="75">
        <v>77</v>
      </c>
      <c r="Q35" s="75">
        <v>6</v>
      </c>
      <c r="R35" s="75">
        <v>6</v>
      </c>
      <c r="S35" s="75">
        <v>3</v>
      </c>
      <c r="T35" s="75">
        <v>3</v>
      </c>
      <c r="U35" s="75">
        <v>3</v>
      </c>
      <c r="V35" s="75">
        <v>4</v>
      </c>
      <c r="W35" s="75">
        <v>4</v>
      </c>
      <c r="X35" s="75">
        <v>4</v>
      </c>
      <c r="Y35" s="75">
        <v>4</v>
      </c>
      <c r="Z35" s="122">
        <v>4</v>
      </c>
      <c r="AA35" s="75">
        <f t="shared" si="5"/>
        <v>0</v>
      </c>
      <c r="AB35" s="75">
        <f t="shared" si="6"/>
        <v>0</v>
      </c>
      <c r="AD35" s="75">
        <v>3</v>
      </c>
      <c r="AE35" s="122">
        <v>4</v>
      </c>
      <c r="AF35" s="75">
        <f>IF(AND(AE35=0,AD35=0),0,IF(OR(AND(AE35&gt;0,AD35&lt;=0),AND(AE35&lt;0,AD35&gt;=0)),"nm",IF(AND(AE35&lt;0,AD35&lt;0),IF(-(AE35/AD35-1)*100&lt;-100,"(&gt;100)",-(AE35/AD35-1)*100),IF((AE35/AD35-1)*100&gt;100,"&gt;100",(AE35/AD35-1)*100))))</f>
        <v>33.33333333333333</v>
      </c>
      <c r="AH35" s="18"/>
      <c r="AI35" s="18"/>
      <c r="AJ35" s="18"/>
      <c r="AK35" s="18"/>
    </row>
    <row r="36" spans="2:37" ht="15">
      <c r="B36" s="18"/>
      <c r="C36" s="36" t="s">
        <v>79</v>
      </c>
      <c r="D36" s="75">
        <v>52</v>
      </c>
      <c r="E36" s="75">
        <v>97</v>
      </c>
      <c r="F36" s="75">
        <v>127</v>
      </c>
      <c r="G36" s="75">
        <v>91</v>
      </c>
      <c r="H36" s="121">
        <f t="shared" si="4"/>
        <v>49</v>
      </c>
      <c r="J36" s="75">
        <v>54</v>
      </c>
      <c r="K36" s="75">
        <v>79</v>
      </c>
      <c r="L36" s="75">
        <v>102</v>
      </c>
      <c r="M36" s="75">
        <v>97</v>
      </c>
      <c r="N36" s="75">
        <v>103</v>
      </c>
      <c r="O36" s="75">
        <v>120</v>
      </c>
      <c r="P36" s="75">
        <v>112</v>
      </c>
      <c r="Q36" s="75">
        <v>127</v>
      </c>
      <c r="R36" s="75">
        <v>105</v>
      </c>
      <c r="S36" s="75">
        <v>109</v>
      </c>
      <c r="T36" s="75">
        <v>103</v>
      </c>
      <c r="U36" s="75">
        <v>91</v>
      </c>
      <c r="V36" s="75">
        <v>93</v>
      </c>
      <c r="W36" s="75">
        <v>65</v>
      </c>
      <c r="X36" s="75">
        <v>65</v>
      </c>
      <c r="Y36" s="75">
        <v>49</v>
      </c>
      <c r="Z36" s="122">
        <v>49</v>
      </c>
      <c r="AA36" s="75">
        <f t="shared" si="5"/>
        <v>0</v>
      </c>
      <c r="AB36" s="75">
        <f t="shared" si="6"/>
        <v>-47.31182795698925</v>
      </c>
      <c r="AD36" s="75">
        <v>91</v>
      </c>
      <c r="AE36" s="122">
        <v>49</v>
      </c>
      <c r="AF36" s="75">
        <f>IF(AND(AE36=0,AD36=0),0,IF(OR(AND(AE36&gt;0,AD36&lt;=0),AND(AE36&lt;0,AD36&gt;=0)),"nm",IF(AND(AE36&lt;0,AD36&lt;0),IF(-(AE36/AD36-1)*100&lt;-100,"(&gt;100)",-(AE36/AD36-1)*100),IF((AE36/AD36-1)*100&gt;100,"&gt;100",(AE36/AD36-1)*100))))</f>
        <v>-46.15384615384615</v>
      </c>
      <c r="AH36" s="18"/>
      <c r="AI36" s="18"/>
      <c r="AJ36" s="18"/>
      <c r="AK36" s="18"/>
    </row>
    <row r="37" spans="1:37" ht="15">
      <c r="A37" s="18"/>
      <c r="B37" s="36"/>
      <c r="C37" s="22"/>
      <c r="D37" s="75"/>
      <c r="H37" s="121"/>
      <c r="Z37" s="477"/>
      <c r="AE37" s="122"/>
      <c r="AH37" s="18"/>
      <c r="AI37" s="18"/>
      <c r="AJ37" s="18"/>
      <c r="AK37" s="18"/>
    </row>
    <row r="38" spans="1:37" ht="15">
      <c r="A38" s="46" t="s">
        <v>211</v>
      </c>
      <c r="B38" s="36"/>
      <c r="C38" s="22"/>
      <c r="D38" s="75"/>
      <c r="H38" s="121"/>
      <c r="Z38" s="477"/>
      <c r="AE38" s="122"/>
      <c r="AH38" s="18"/>
      <c r="AI38" s="18"/>
      <c r="AJ38" s="18"/>
      <c r="AK38" s="18"/>
    </row>
    <row r="39" spans="1:32" s="18" customFormat="1" ht="15">
      <c r="A39" s="18" t="s">
        <v>213</v>
      </c>
      <c r="C39" s="32"/>
      <c r="D39" s="17">
        <f>D40+D51</f>
        <v>1524</v>
      </c>
      <c r="E39" s="17">
        <f>E40+E51</f>
        <v>1672</v>
      </c>
      <c r="F39" s="17">
        <v>1852</v>
      </c>
      <c r="G39" s="17">
        <v>2339</v>
      </c>
      <c r="H39" s="17">
        <f>AE39</f>
        <v>2511</v>
      </c>
      <c r="I39" s="17"/>
      <c r="J39" s="17">
        <v>1727</v>
      </c>
      <c r="K39" s="17">
        <f>K40+K51</f>
        <v>1899</v>
      </c>
      <c r="L39" s="17">
        <v>1901</v>
      </c>
      <c r="M39" s="17">
        <v>1672</v>
      </c>
      <c r="N39" s="17">
        <v>1688</v>
      </c>
      <c r="O39" s="17">
        <v>1809</v>
      </c>
      <c r="P39" s="17">
        <v>1820</v>
      </c>
      <c r="Q39" s="17">
        <v>1852</v>
      </c>
      <c r="R39" s="17">
        <v>1903</v>
      </c>
      <c r="S39" s="17">
        <v>1991</v>
      </c>
      <c r="T39" s="17">
        <v>2208</v>
      </c>
      <c r="U39" s="17">
        <v>2339</v>
      </c>
      <c r="V39" s="17">
        <v>2400</v>
      </c>
      <c r="W39" s="17">
        <v>2469</v>
      </c>
      <c r="X39" s="17">
        <v>2462</v>
      </c>
      <c r="Y39" s="17">
        <v>2511</v>
      </c>
      <c r="Z39" s="125">
        <v>2625</v>
      </c>
      <c r="AA39" s="320">
        <f>IF(AND(Z39=0,Y39=0),0,IF(OR(AND(Z39&gt;0,Y39&lt;=0),AND(Z39&lt;0,Y39&gt;=0)),"nm",IF(AND(Z39&lt;0,Y39&lt;0),IF(-(Z39/Y39-1)*100&lt;-100,"(&gt;100)",-(Z39/Y39-1)*100),IF((Z39/Y39-1)*100&gt;100,"&gt;100",(Z39/Y39-1)*100))))</f>
        <v>4.54002389486261</v>
      </c>
      <c r="AB39" s="320">
        <f>IF(AND(Z39=0,V39=0),0,IF(OR(AND(Z39&gt;0,V39&lt;=0),AND(Z39&lt;0,V39&gt;=0)),"nm",IF(AND(Z39&lt;0,V39&lt;0),IF(-(Z39/V39-1)*100&lt;-100,"(&gt;100)",-(Z39/V39-1)*100),IF((Z39/V39-1)*100&gt;100,"&gt;100",(Z39/V39-1)*100))))</f>
        <v>9.375</v>
      </c>
      <c r="AC39" s="321"/>
      <c r="AD39" s="320">
        <v>2339</v>
      </c>
      <c r="AE39" s="125">
        <f>AE40+AE51</f>
        <v>2511</v>
      </c>
      <c r="AF39" s="17">
        <f>IF(AND(AE39=0,AD39=0),0,IF(OR(AND(AE39&gt;0,AD39&lt;=0),AND(AE39&lt;0,AD39&gt;=0)),"nm",IF(AND(AE39&lt;0,AD39&lt;0),IF(-(AE39/AD39-1)*100&lt;-100,"(&gt;100)",-(AE39/AD39-1)*100),IF((AE39/AD39-1)*100&gt;100,"&gt;100",(AE39/AD39-1)*100))))</f>
        <v>7.353569901667378</v>
      </c>
    </row>
    <row r="40" spans="2:32" s="18" customFormat="1" ht="15">
      <c r="B40" s="18" t="s">
        <v>214</v>
      </c>
      <c r="D40" s="17">
        <v>1016</v>
      </c>
      <c r="E40" s="17">
        <v>1325</v>
      </c>
      <c r="F40" s="17">
        <v>1476</v>
      </c>
      <c r="G40" s="17">
        <v>1919</v>
      </c>
      <c r="H40" s="17">
        <f>AE40</f>
        <v>2092</v>
      </c>
      <c r="I40" s="17"/>
      <c r="J40" s="17">
        <v>1176</v>
      </c>
      <c r="K40" s="17">
        <v>1346</v>
      </c>
      <c r="L40" s="17">
        <v>1341</v>
      </c>
      <c r="M40" s="17">
        <v>1325</v>
      </c>
      <c r="N40" s="17">
        <v>1339</v>
      </c>
      <c r="O40" s="17">
        <v>1433</v>
      </c>
      <c r="P40" s="17">
        <v>1449</v>
      </c>
      <c r="Q40" s="17">
        <v>1476</v>
      </c>
      <c r="R40" s="17">
        <v>1539</v>
      </c>
      <c r="S40" s="17">
        <v>1628</v>
      </c>
      <c r="T40" s="17">
        <v>1807</v>
      </c>
      <c r="U40" s="17">
        <v>1919</v>
      </c>
      <c r="V40" s="17">
        <v>1979</v>
      </c>
      <c r="W40" s="17">
        <v>2047</v>
      </c>
      <c r="X40" s="17">
        <v>2053</v>
      </c>
      <c r="Y40" s="17">
        <v>2092</v>
      </c>
      <c r="Z40" s="125">
        <f>SUM(Z42:Z43)</f>
        <v>2189</v>
      </c>
      <c r="AA40" s="320">
        <f>IF(AND(Z40=0,Y40=0),0,IF(OR(AND(Z40&gt;0,Y40&lt;=0),AND(Z40&lt;0,Y40&gt;=0)),"nm",IF(AND(Z40&lt;0,Y40&lt;0),IF(-(Z40/Y40-1)*100&lt;-100,"(&gt;100)",-(Z40/Y40-1)*100),IF((Z40/Y40-1)*100&gt;100,"&gt;100",(Z40/Y40-1)*100))))</f>
        <v>4.636711281070749</v>
      </c>
      <c r="AB40" s="320">
        <f>IF(AND(Z40=0,V40=0),0,IF(OR(AND(Z40&gt;0,V40&lt;=0),AND(Z40&lt;0,V40&gt;=0)),"nm",IF(AND(Z40&lt;0,V40&lt;0),IF(-(Z40/V40-1)*100&lt;-100,"(&gt;100)",-(Z40/V40-1)*100),IF((Z40/V40-1)*100&gt;100,"&gt;100",(Z40/V40-1)*100))))</f>
        <v>10.611419909044972</v>
      </c>
      <c r="AC40" s="321"/>
      <c r="AD40" s="320">
        <v>1919</v>
      </c>
      <c r="AE40" s="125">
        <f>SUM(AE42:AE43)</f>
        <v>2092</v>
      </c>
      <c r="AF40" s="17">
        <f>IF(AND(AE40=0,AD40=0),0,IF(OR(AND(AE40&gt;0,AD40&lt;=0),AND(AE40&lt;0,AD40&gt;=0)),"nm",IF(AND(AE40&lt;0,AD40&lt;0),IF(-(AE40/AD40-1)*100&lt;-100,"(&gt;100)",-(AE40/AD40-1)*100),IF((AE40/AD40-1)*100&gt;100,"&gt;100",(AE40/AD40-1)*100))))</f>
        <v>9.015112037519547</v>
      </c>
    </row>
    <row r="41" spans="2:37" ht="15">
      <c r="B41" s="91" t="s">
        <v>82</v>
      </c>
      <c r="C41" s="22"/>
      <c r="D41" s="75"/>
      <c r="H41" s="121"/>
      <c r="Z41" s="122"/>
      <c r="AE41" s="122"/>
      <c r="AH41" s="18"/>
      <c r="AI41" s="18"/>
      <c r="AJ41" s="18"/>
      <c r="AK41" s="18"/>
    </row>
    <row r="42" spans="2:37" ht="15">
      <c r="B42" s="31"/>
      <c r="C42" s="22" t="s">
        <v>382</v>
      </c>
      <c r="D42" s="75">
        <v>383</v>
      </c>
      <c r="E42" s="75">
        <v>440</v>
      </c>
      <c r="F42" s="75">
        <v>502</v>
      </c>
      <c r="G42" s="75">
        <v>545</v>
      </c>
      <c r="H42" s="121">
        <f>AE42</f>
        <v>617</v>
      </c>
      <c r="J42" s="75">
        <v>398</v>
      </c>
      <c r="K42" s="75">
        <v>399</v>
      </c>
      <c r="L42" s="75">
        <v>406</v>
      </c>
      <c r="M42" s="75">
        <v>440</v>
      </c>
      <c r="N42" s="75">
        <v>459</v>
      </c>
      <c r="O42" s="75">
        <v>482</v>
      </c>
      <c r="P42" s="75">
        <v>490</v>
      </c>
      <c r="Q42" s="75">
        <v>502</v>
      </c>
      <c r="R42" s="75">
        <v>510</v>
      </c>
      <c r="S42" s="75">
        <v>529</v>
      </c>
      <c r="T42" s="75">
        <v>534</v>
      </c>
      <c r="U42" s="75">
        <v>545</v>
      </c>
      <c r="V42" s="75">
        <v>561</v>
      </c>
      <c r="W42" s="75">
        <v>586</v>
      </c>
      <c r="X42" s="75">
        <v>600</v>
      </c>
      <c r="Y42" s="75">
        <v>617</v>
      </c>
      <c r="Z42" s="122">
        <v>634</v>
      </c>
      <c r="AA42" s="75">
        <f>IF(AND(Z42=0,Y42=0),0,IF(OR(AND(Z42&gt;0,Y42&lt;=0),AND(Z42&lt;0,Y42&gt;=0)),"nm",IF(AND(Z42&lt;0,Y42&lt;0),IF(-(Z42/Y42-1)*100&lt;-100,"(&gt;100)",-(Z42/Y42-1)*100),IF((Z42/Y42-1)*100&gt;100,"&gt;100",(Z42/Y42-1)*100))))</f>
        <v>2.7552674230145957</v>
      </c>
      <c r="AB42" s="75">
        <f>IF(AND(Z42=0,V42=0),0,IF(OR(AND(Z42&gt;0,V42&lt;=0),AND(Z42&lt;0,V42&gt;=0)),"nm",IF(AND(Z42&lt;0,V42&lt;0),IF(-(Z42/V42-1)*100&lt;-100,"(&gt;100)",-(Z42/V42-1)*100),IF((Z42/V42-1)*100&gt;100,"&gt;100",(Z42/V42-1)*100))))</f>
        <v>13.01247771836007</v>
      </c>
      <c r="AD42" s="75">
        <v>545</v>
      </c>
      <c r="AE42" s="122">
        <v>617</v>
      </c>
      <c r="AF42" s="75">
        <f>IF(AND(AE42=0,AD42=0),0,IF(OR(AND(AE42&gt;0,AD42&lt;=0),AND(AE42&lt;0,AD42&gt;=0)),"nm",IF(AND(AE42&lt;0,AD42&lt;0),IF(-(AE42/AD42-1)*100&lt;-100,"(&gt;100)",-(AE42/AD42-1)*100),IF((AE42/AD42-1)*100&gt;100,"&gt;100",(AE42/AD42-1)*100))))</f>
        <v>13.211009174311927</v>
      </c>
      <c r="AH42" s="18"/>
      <c r="AI42" s="18"/>
      <c r="AJ42" s="18"/>
      <c r="AK42" s="18"/>
    </row>
    <row r="43" spans="2:37" ht="15">
      <c r="B43" s="31"/>
      <c r="C43" s="22" t="s">
        <v>332</v>
      </c>
      <c r="D43" s="75">
        <v>633</v>
      </c>
      <c r="E43" s="75">
        <v>885</v>
      </c>
      <c r="F43" s="75">
        <v>974</v>
      </c>
      <c r="G43" s="75">
        <v>1374</v>
      </c>
      <c r="H43" s="121">
        <f>AE43</f>
        <v>1475</v>
      </c>
      <c r="J43" s="75">
        <v>778</v>
      </c>
      <c r="K43" s="75">
        <v>947</v>
      </c>
      <c r="L43" s="75">
        <v>935</v>
      </c>
      <c r="M43" s="75">
        <v>885</v>
      </c>
      <c r="N43" s="75">
        <v>880</v>
      </c>
      <c r="O43" s="75">
        <v>951</v>
      </c>
      <c r="P43" s="75">
        <v>959</v>
      </c>
      <c r="Q43" s="75">
        <v>974</v>
      </c>
      <c r="R43" s="75">
        <v>1029</v>
      </c>
      <c r="S43" s="75">
        <v>1099</v>
      </c>
      <c r="T43" s="75">
        <v>1273</v>
      </c>
      <c r="U43" s="75">
        <v>1374</v>
      </c>
      <c r="V43" s="75">
        <v>1418</v>
      </c>
      <c r="W43" s="75">
        <v>1461</v>
      </c>
      <c r="X43" s="75">
        <v>1453</v>
      </c>
      <c r="Y43" s="75">
        <v>1475</v>
      </c>
      <c r="Z43" s="122">
        <v>1555</v>
      </c>
      <c r="AA43" s="75">
        <f>IF(AND(Z43=0,Y43=0),0,IF(OR(AND(Z43&gt;0,Y43&lt;=0),AND(Z43&lt;0,Y43&gt;=0)),"nm",IF(AND(Z43&lt;0,Y43&lt;0),IF(-(Z43/Y43-1)*100&lt;-100,"(&gt;100)",-(Z43/Y43-1)*100),IF((Z43/Y43-1)*100&gt;100,"&gt;100",(Z43/Y43-1)*100))))</f>
        <v>5.423728813559325</v>
      </c>
      <c r="AB43" s="75">
        <f>IF(AND(Z43=0,V43=0),0,IF(OR(AND(Z43&gt;0,V43&lt;=0),AND(Z43&lt;0,V43&gt;=0)),"nm",IF(AND(Z43&lt;0,V43&lt;0),IF(-(Z43/V43-1)*100&lt;-100,"(&gt;100)",-(Z43/V43-1)*100),IF((Z43/V43-1)*100&gt;100,"&gt;100",(Z43/V43-1)*100))))</f>
        <v>9.661495063469673</v>
      </c>
      <c r="AD43" s="75">
        <v>1374</v>
      </c>
      <c r="AE43" s="122">
        <v>1475</v>
      </c>
      <c r="AF43" s="75">
        <f>IF(AND(AE43=0,AD43=0),0,IF(OR(AND(AE43&gt;0,AD43&lt;=0),AND(AE43&lt;0,AD43&gt;=0)),"nm",IF(AND(AE43&lt;0,AD43&lt;0),IF(-(AE43/AD43-1)*100&lt;-100,"(&gt;100)",-(AE43/AD43-1)*100),IF((AE43/AD43-1)*100&gt;100,"&gt;100",(AE43/AD43-1)*100))))</f>
        <v>7.350800582241623</v>
      </c>
      <c r="AH43" s="18"/>
      <c r="AI43" s="18"/>
      <c r="AJ43" s="18"/>
      <c r="AK43" s="18"/>
    </row>
    <row r="44" spans="2:37" ht="9.75" customHeight="1" hidden="1">
      <c r="B44" s="36"/>
      <c r="C44" s="92"/>
      <c r="D44" s="75"/>
      <c r="H44" s="121"/>
      <c r="Z44" s="122"/>
      <c r="AE44" s="122"/>
      <c r="AH44" s="18"/>
      <c r="AI44" s="18"/>
      <c r="AJ44" s="18"/>
      <c r="AK44" s="18"/>
    </row>
    <row r="45" spans="2:37" ht="15">
      <c r="B45" s="58" t="s">
        <v>81</v>
      </c>
      <c r="C45" s="22"/>
      <c r="D45" s="75"/>
      <c r="H45" s="121"/>
      <c r="Z45" s="122"/>
      <c r="AE45" s="122"/>
      <c r="AH45" s="18"/>
      <c r="AI45" s="18"/>
      <c r="AJ45" s="18"/>
      <c r="AK45" s="18"/>
    </row>
    <row r="46" spans="2:37" ht="15">
      <c r="B46" s="36"/>
      <c r="C46" s="22" t="s">
        <v>48</v>
      </c>
      <c r="D46" s="75">
        <v>316</v>
      </c>
      <c r="E46" s="75">
        <v>546</v>
      </c>
      <c r="F46" s="75">
        <v>613</v>
      </c>
      <c r="G46" s="75">
        <v>749</v>
      </c>
      <c r="H46" s="121">
        <f aca="true" t="shared" si="8" ref="H46:H53">AE46</f>
        <v>864</v>
      </c>
      <c r="J46" s="75">
        <v>359</v>
      </c>
      <c r="K46" s="75">
        <v>573</v>
      </c>
      <c r="L46" s="75">
        <v>564</v>
      </c>
      <c r="M46" s="75">
        <v>546</v>
      </c>
      <c r="N46" s="75">
        <v>559</v>
      </c>
      <c r="O46" s="75">
        <v>588</v>
      </c>
      <c r="P46" s="75">
        <v>611</v>
      </c>
      <c r="Q46" s="75">
        <v>613</v>
      </c>
      <c r="R46" s="75">
        <v>648</v>
      </c>
      <c r="S46" s="75">
        <v>683</v>
      </c>
      <c r="T46" s="75">
        <v>722</v>
      </c>
      <c r="U46" s="75">
        <v>749</v>
      </c>
      <c r="V46" s="75">
        <v>812</v>
      </c>
      <c r="W46" s="75">
        <v>828</v>
      </c>
      <c r="X46" s="75">
        <v>886</v>
      </c>
      <c r="Y46" s="75">
        <v>864</v>
      </c>
      <c r="Z46" s="122">
        <v>912</v>
      </c>
      <c r="AA46" s="75">
        <f aca="true" t="shared" si="9" ref="AA46:AA53">IF(AND(Z46=0,Y46=0),0,IF(OR(AND(Z46&gt;0,Y46&lt;=0),AND(Z46&lt;0,Y46&gt;=0)),"nm",IF(AND(Z46&lt;0,Y46&lt;0),IF(-(Z46/Y46-1)*100&lt;-100,"(&gt;100)",-(Z46/Y46-1)*100),IF((Z46/Y46-1)*100&gt;100,"&gt;100",(Z46/Y46-1)*100))))</f>
        <v>5.555555555555558</v>
      </c>
      <c r="AB46" s="75">
        <f aca="true" t="shared" si="10" ref="AB46:AB53">IF(AND(Z46=0,V46=0),0,IF(OR(AND(Z46&gt;0,V46&lt;=0),AND(Z46&lt;0,V46&gt;=0)),"nm",IF(AND(Z46&lt;0,V46&lt;0),IF(-(Z46/V46-1)*100&lt;-100,"(&gt;100)",-(Z46/V46-1)*100),IF((Z46/V46-1)*100&gt;100,"&gt;100",(Z46/V46-1)*100))))</f>
        <v>12.315270935960587</v>
      </c>
      <c r="AD46" s="75">
        <v>749</v>
      </c>
      <c r="AE46" s="122">
        <v>864</v>
      </c>
      <c r="AF46" s="75">
        <f aca="true" t="shared" si="11" ref="AF46:AF51">IF(AND(AE46=0,AD46=0),0,IF(OR(AND(AE46&gt;0,AD46&lt;=0),AND(AE46&lt;0,AD46&gt;=0)),"nm",IF(AND(AE46&lt;0,AD46&lt;0),IF(-(AE46/AD46-1)*100&lt;-100,"(&gt;100)",-(AE46/AD46-1)*100),IF((AE46/AD46-1)*100&gt;100,"&gt;100",(AE46/AD46-1)*100))))</f>
        <v>15.353805073431248</v>
      </c>
      <c r="AH46" s="18"/>
      <c r="AI46" s="18"/>
      <c r="AJ46" s="18"/>
      <c r="AK46" s="18"/>
    </row>
    <row r="47" spans="2:37" ht="15">
      <c r="B47" s="36"/>
      <c r="C47" s="93" t="s">
        <v>49</v>
      </c>
      <c r="D47" s="75">
        <v>343</v>
      </c>
      <c r="E47" s="75">
        <v>330</v>
      </c>
      <c r="F47" s="75">
        <v>369</v>
      </c>
      <c r="G47" s="75">
        <v>406</v>
      </c>
      <c r="H47" s="121">
        <f t="shared" si="8"/>
        <v>392</v>
      </c>
      <c r="J47" s="75">
        <v>324</v>
      </c>
      <c r="K47" s="75">
        <v>319</v>
      </c>
      <c r="L47" s="75">
        <v>318</v>
      </c>
      <c r="M47" s="75">
        <v>330</v>
      </c>
      <c r="N47" s="75">
        <v>335</v>
      </c>
      <c r="O47" s="75">
        <v>371</v>
      </c>
      <c r="P47" s="75">
        <v>367</v>
      </c>
      <c r="Q47" s="75">
        <v>369</v>
      </c>
      <c r="R47" s="75">
        <v>368</v>
      </c>
      <c r="S47" s="75">
        <v>372</v>
      </c>
      <c r="T47" s="75">
        <v>409</v>
      </c>
      <c r="U47" s="75">
        <v>406</v>
      </c>
      <c r="V47" s="75">
        <v>388</v>
      </c>
      <c r="W47" s="75">
        <v>398</v>
      </c>
      <c r="X47" s="75">
        <v>387</v>
      </c>
      <c r="Y47" s="75">
        <v>392</v>
      </c>
      <c r="Z47" s="122">
        <v>378</v>
      </c>
      <c r="AA47" s="75">
        <f t="shared" si="9"/>
        <v>-3.57142857142857</v>
      </c>
      <c r="AB47" s="75">
        <f t="shared" si="10"/>
        <v>-2.577319587628868</v>
      </c>
      <c r="AD47" s="75">
        <v>406</v>
      </c>
      <c r="AE47" s="122">
        <v>392</v>
      </c>
      <c r="AF47" s="75">
        <f t="shared" si="11"/>
        <v>-3.4482758620689613</v>
      </c>
      <c r="AH47" s="18"/>
      <c r="AI47" s="18"/>
      <c r="AJ47" s="18"/>
      <c r="AK47" s="18"/>
    </row>
    <row r="48" spans="2:37" ht="15">
      <c r="B48" s="36"/>
      <c r="C48" s="93" t="s">
        <v>76</v>
      </c>
      <c r="D48" s="75">
        <v>117</v>
      </c>
      <c r="E48" s="75">
        <v>121</v>
      </c>
      <c r="F48" s="75">
        <v>145</v>
      </c>
      <c r="G48" s="75">
        <v>323</v>
      </c>
      <c r="H48" s="121">
        <f t="shared" si="8"/>
        <v>320</v>
      </c>
      <c r="J48" s="75">
        <v>115</v>
      </c>
      <c r="K48" s="75">
        <v>109</v>
      </c>
      <c r="L48" s="75">
        <v>113</v>
      </c>
      <c r="M48" s="75">
        <v>121</v>
      </c>
      <c r="N48" s="75">
        <v>126</v>
      </c>
      <c r="O48" s="75">
        <v>125</v>
      </c>
      <c r="P48" s="75">
        <v>123</v>
      </c>
      <c r="Q48" s="75">
        <v>145</v>
      </c>
      <c r="R48" s="75">
        <v>151</v>
      </c>
      <c r="S48" s="75">
        <v>201</v>
      </c>
      <c r="T48" s="75">
        <v>253</v>
      </c>
      <c r="U48" s="75">
        <v>323</v>
      </c>
      <c r="V48" s="75">
        <v>325</v>
      </c>
      <c r="W48" s="75">
        <v>333</v>
      </c>
      <c r="X48" s="75">
        <v>288</v>
      </c>
      <c r="Y48" s="75">
        <v>320</v>
      </c>
      <c r="Z48" s="122">
        <v>388</v>
      </c>
      <c r="AA48" s="75">
        <f t="shared" si="9"/>
        <v>21.249999999999993</v>
      </c>
      <c r="AB48" s="75">
        <f t="shared" si="10"/>
        <v>19.38461538461538</v>
      </c>
      <c r="AD48" s="75">
        <v>323</v>
      </c>
      <c r="AE48" s="122">
        <v>320</v>
      </c>
      <c r="AF48" s="75">
        <f t="shared" si="11"/>
        <v>-0.9287925696594423</v>
      </c>
      <c r="AH48" s="18"/>
      <c r="AI48" s="18"/>
      <c r="AJ48" s="18"/>
      <c r="AK48" s="18"/>
    </row>
    <row r="49" spans="2:37" ht="15">
      <c r="B49" s="36"/>
      <c r="C49" s="93" t="s">
        <v>74</v>
      </c>
      <c r="D49" s="75">
        <v>159</v>
      </c>
      <c r="E49" s="75">
        <v>174</v>
      </c>
      <c r="F49" s="75">
        <v>189</v>
      </c>
      <c r="G49" s="75">
        <v>255</v>
      </c>
      <c r="H49" s="121">
        <f t="shared" si="8"/>
        <v>302</v>
      </c>
      <c r="J49" s="75">
        <v>183</v>
      </c>
      <c r="K49" s="75">
        <v>182</v>
      </c>
      <c r="L49" s="75">
        <v>195</v>
      </c>
      <c r="M49" s="75">
        <v>174</v>
      </c>
      <c r="N49" s="75">
        <v>170</v>
      </c>
      <c r="O49" s="75">
        <v>191</v>
      </c>
      <c r="P49" s="75">
        <v>191</v>
      </c>
      <c r="Q49" s="75">
        <v>189</v>
      </c>
      <c r="R49" s="75">
        <v>212</v>
      </c>
      <c r="S49" s="75">
        <v>212</v>
      </c>
      <c r="T49" s="75">
        <v>238</v>
      </c>
      <c r="U49" s="75">
        <v>255</v>
      </c>
      <c r="V49" s="75">
        <v>259</v>
      </c>
      <c r="W49" s="75">
        <v>290</v>
      </c>
      <c r="X49" s="75">
        <v>291</v>
      </c>
      <c r="Y49" s="75">
        <v>302</v>
      </c>
      <c r="Z49" s="122">
        <v>294</v>
      </c>
      <c r="AA49" s="75">
        <f t="shared" si="9"/>
        <v>-2.6490066225165587</v>
      </c>
      <c r="AB49" s="75">
        <f t="shared" si="10"/>
        <v>13.513513513513509</v>
      </c>
      <c r="AD49" s="75">
        <v>255</v>
      </c>
      <c r="AE49" s="122">
        <v>302</v>
      </c>
      <c r="AF49" s="75">
        <f t="shared" si="11"/>
        <v>18.43137254901961</v>
      </c>
      <c r="AH49" s="18"/>
      <c r="AI49" s="18"/>
      <c r="AJ49" s="18"/>
      <c r="AK49" s="18"/>
    </row>
    <row r="50" spans="2:37" ht="15">
      <c r="B50" s="36"/>
      <c r="C50" s="93" t="s">
        <v>77</v>
      </c>
      <c r="D50" s="75">
        <v>81</v>
      </c>
      <c r="E50" s="75">
        <v>154</v>
      </c>
      <c r="F50" s="75">
        <v>160</v>
      </c>
      <c r="G50" s="75">
        <v>186</v>
      </c>
      <c r="H50" s="121">
        <f t="shared" si="8"/>
        <v>214</v>
      </c>
      <c r="J50" s="75">
        <v>195</v>
      </c>
      <c r="K50" s="75">
        <v>163</v>
      </c>
      <c r="L50" s="75">
        <v>151</v>
      </c>
      <c r="M50" s="75">
        <v>154</v>
      </c>
      <c r="N50" s="75">
        <v>149</v>
      </c>
      <c r="O50" s="75">
        <v>158</v>
      </c>
      <c r="P50" s="75">
        <v>157</v>
      </c>
      <c r="Q50" s="75">
        <v>160</v>
      </c>
      <c r="R50" s="75">
        <v>160</v>
      </c>
      <c r="S50" s="75">
        <v>160</v>
      </c>
      <c r="T50" s="75">
        <v>185</v>
      </c>
      <c r="U50" s="75">
        <v>186</v>
      </c>
      <c r="V50" s="75">
        <v>195</v>
      </c>
      <c r="W50" s="75">
        <v>198</v>
      </c>
      <c r="X50" s="75">
        <v>201</v>
      </c>
      <c r="Y50" s="75">
        <v>214</v>
      </c>
      <c r="Z50" s="122">
        <v>217</v>
      </c>
      <c r="AA50" s="75">
        <f t="shared" si="9"/>
        <v>1.4018691588784993</v>
      </c>
      <c r="AB50" s="75">
        <f t="shared" si="10"/>
        <v>11.282051282051286</v>
      </c>
      <c r="AD50" s="75">
        <v>186</v>
      </c>
      <c r="AE50" s="122">
        <v>214</v>
      </c>
      <c r="AF50" s="75">
        <f t="shared" si="11"/>
        <v>15.053763440860223</v>
      </c>
      <c r="AH50" s="18"/>
      <c r="AI50" s="18"/>
      <c r="AJ50" s="18"/>
      <c r="AK50" s="18"/>
    </row>
    <row r="51" spans="2:32" s="18" customFormat="1" ht="15">
      <c r="B51" s="18" t="s">
        <v>215</v>
      </c>
      <c r="D51" s="17">
        <v>508</v>
      </c>
      <c r="E51" s="17">
        <v>347</v>
      </c>
      <c r="F51" s="17">
        <v>376</v>
      </c>
      <c r="G51" s="17">
        <v>420</v>
      </c>
      <c r="H51" s="17">
        <f t="shared" si="8"/>
        <v>419</v>
      </c>
      <c r="I51" s="17"/>
      <c r="J51" s="17">
        <v>551</v>
      </c>
      <c r="K51" s="17">
        <v>553</v>
      </c>
      <c r="L51" s="17">
        <v>560</v>
      </c>
      <c r="M51" s="17">
        <v>347</v>
      </c>
      <c r="N51" s="17">
        <v>349</v>
      </c>
      <c r="O51" s="17">
        <v>376</v>
      </c>
      <c r="P51" s="17">
        <v>371</v>
      </c>
      <c r="Q51" s="17">
        <v>376</v>
      </c>
      <c r="R51" s="17">
        <v>364</v>
      </c>
      <c r="S51" s="17">
        <v>363</v>
      </c>
      <c r="T51" s="17">
        <v>401</v>
      </c>
      <c r="U51" s="17">
        <v>420</v>
      </c>
      <c r="V51" s="17">
        <v>421</v>
      </c>
      <c r="W51" s="17">
        <v>422</v>
      </c>
      <c r="X51" s="17">
        <v>409</v>
      </c>
      <c r="Y51" s="17">
        <v>419</v>
      </c>
      <c r="Z51" s="125">
        <f>SUM(Z52:Z53)</f>
        <v>436</v>
      </c>
      <c r="AA51" s="17">
        <f t="shared" si="9"/>
        <v>4.057279236276856</v>
      </c>
      <c r="AB51" s="17">
        <f t="shared" si="10"/>
        <v>3.562945368171011</v>
      </c>
      <c r="AC51" s="15"/>
      <c r="AD51" s="17">
        <v>420</v>
      </c>
      <c r="AE51" s="125">
        <f>SUM(AE52:AE53)</f>
        <v>419</v>
      </c>
      <c r="AF51" s="17">
        <f t="shared" si="11"/>
        <v>-0.23809523809523725</v>
      </c>
    </row>
    <row r="52" spans="3:37" ht="15">
      <c r="C52" s="36" t="s">
        <v>78</v>
      </c>
      <c r="D52" s="75">
        <v>288</v>
      </c>
      <c r="E52" s="75">
        <v>92</v>
      </c>
      <c r="F52" s="75">
        <v>124</v>
      </c>
      <c r="G52" s="75">
        <v>119</v>
      </c>
      <c r="H52" s="121">
        <f t="shared" si="8"/>
        <v>117</v>
      </c>
      <c r="J52" s="75">
        <v>338</v>
      </c>
      <c r="K52" s="75">
        <v>339</v>
      </c>
      <c r="L52" s="75">
        <v>342</v>
      </c>
      <c r="M52" s="75">
        <v>92</v>
      </c>
      <c r="N52" s="75">
        <v>99</v>
      </c>
      <c r="O52" s="75">
        <v>116</v>
      </c>
      <c r="P52" s="75">
        <v>122</v>
      </c>
      <c r="Q52" s="75">
        <v>124</v>
      </c>
      <c r="R52" s="75">
        <v>105</v>
      </c>
      <c r="S52" s="75">
        <v>103</v>
      </c>
      <c r="T52" s="75">
        <v>113</v>
      </c>
      <c r="U52" s="75">
        <v>119</v>
      </c>
      <c r="V52" s="75">
        <v>119</v>
      </c>
      <c r="W52" s="75">
        <v>118</v>
      </c>
      <c r="X52" s="75">
        <v>115</v>
      </c>
      <c r="Y52" s="75">
        <v>117</v>
      </c>
      <c r="Z52" s="122">
        <v>125</v>
      </c>
      <c r="AA52" s="75">
        <f t="shared" si="9"/>
        <v>6.8376068376068355</v>
      </c>
      <c r="AB52" s="75">
        <f t="shared" si="10"/>
        <v>5.042016806722693</v>
      </c>
      <c r="AD52" s="75">
        <v>119</v>
      </c>
      <c r="AE52" s="122">
        <v>117</v>
      </c>
      <c r="AF52" s="75">
        <f>IF(AND(AE52=0,AD52=0),0,IF(OR(AND(AE52&gt;0,AD52&lt;=0),AND(AE52&lt;0,AD52&gt;=0)),"nm",IF(AND(AE52&lt;0,AD52&lt;0),IF(-(AE52/AD52-1)*100&lt;-100,"(&gt;100)",-(AE52/AD52-1)*100),IF((AE52/AD52-1)*100&gt;100,"&gt;100",(AE52/AD52-1)*100))))</f>
        <v>-1.6806722689075682</v>
      </c>
      <c r="AH52" s="18"/>
      <c r="AI52" s="18"/>
      <c r="AJ52" s="18"/>
      <c r="AK52" s="18"/>
    </row>
    <row r="53" spans="3:37" ht="15">
      <c r="C53" s="36" t="s">
        <v>79</v>
      </c>
      <c r="D53" s="75">
        <v>220</v>
      </c>
      <c r="E53" s="75">
        <v>255</v>
      </c>
      <c r="F53" s="75">
        <v>252</v>
      </c>
      <c r="G53" s="75">
        <v>301</v>
      </c>
      <c r="H53" s="121">
        <f t="shared" si="8"/>
        <v>302</v>
      </c>
      <c r="J53" s="75">
        <v>213</v>
      </c>
      <c r="K53" s="75">
        <v>214</v>
      </c>
      <c r="L53" s="75">
        <v>218</v>
      </c>
      <c r="M53" s="75">
        <v>255</v>
      </c>
      <c r="N53" s="75">
        <v>250</v>
      </c>
      <c r="O53" s="75">
        <v>260</v>
      </c>
      <c r="P53" s="75">
        <v>249</v>
      </c>
      <c r="Q53" s="75">
        <v>252</v>
      </c>
      <c r="R53" s="75">
        <v>259</v>
      </c>
      <c r="S53" s="75">
        <v>260</v>
      </c>
      <c r="T53" s="75">
        <v>288</v>
      </c>
      <c r="U53" s="75">
        <v>301</v>
      </c>
      <c r="V53" s="75">
        <v>302</v>
      </c>
      <c r="W53" s="75">
        <v>304</v>
      </c>
      <c r="X53" s="75">
        <v>294</v>
      </c>
      <c r="Y53" s="75">
        <v>302</v>
      </c>
      <c r="Z53" s="122">
        <v>311</v>
      </c>
      <c r="AA53" s="75">
        <f t="shared" si="9"/>
        <v>2.98013245033113</v>
      </c>
      <c r="AB53" s="75">
        <f t="shared" si="10"/>
        <v>2.98013245033113</v>
      </c>
      <c r="AD53" s="75">
        <v>301</v>
      </c>
      <c r="AE53" s="122">
        <v>302</v>
      </c>
      <c r="AF53" s="75">
        <f>IF(AND(AE53=0,AD53=0),0,IF(OR(AND(AE53&gt;0,AD53&lt;=0),AND(AE53&lt;0,AD53&gt;=0)),"nm",IF(AND(AE53&lt;0,AD53&lt;0),IF(-(AE53/AD53-1)*100&lt;-100,"(&gt;100)",-(AE53/AD53-1)*100),IF((AE53/AD53-1)*100&gt;100,"&gt;100",(AE53/AD53-1)*100))))</f>
        <v>0.33222591362125353</v>
      </c>
      <c r="AH53" s="18"/>
      <c r="AI53" s="18"/>
      <c r="AJ53" s="18"/>
      <c r="AK53" s="18"/>
    </row>
    <row r="54" spans="3:37" ht="15">
      <c r="C54" s="22"/>
      <c r="D54" s="75"/>
      <c r="H54" s="121"/>
      <c r="Z54" s="122"/>
      <c r="AD54" s="171"/>
      <c r="AE54" s="122"/>
      <c r="AH54" s="18"/>
      <c r="AI54" s="18"/>
      <c r="AJ54" s="18"/>
      <c r="AK54" s="18"/>
    </row>
    <row r="55" spans="8:37" ht="15">
      <c r="H55" s="121"/>
      <c r="Z55" s="122"/>
      <c r="AE55" s="364"/>
      <c r="AH55" s="18"/>
      <c r="AI55" s="18"/>
      <c r="AJ55" s="18"/>
      <c r="AK55" s="18"/>
    </row>
    <row r="56" spans="8:37" ht="15">
      <c r="H56" s="121"/>
      <c r="Z56" s="122"/>
      <c r="AE56" s="364"/>
      <c r="AH56" s="18"/>
      <c r="AI56" s="18"/>
      <c r="AJ56" s="18"/>
      <c r="AK56" s="18"/>
    </row>
    <row r="57" spans="8:37" ht="15">
      <c r="H57" s="121"/>
      <c r="Z57" s="122"/>
      <c r="AE57" s="364"/>
      <c r="AH57" s="18"/>
      <c r="AI57" s="18"/>
      <c r="AJ57" s="18"/>
      <c r="AK57" s="18"/>
    </row>
    <row r="58" spans="8:37" ht="15">
      <c r="H58" s="121"/>
      <c r="Z58" s="122"/>
      <c r="AE58" s="364"/>
      <c r="AH58" s="18"/>
      <c r="AI58" s="18"/>
      <c r="AJ58" s="18"/>
      <c r="AK58" s="18"/>
    </row>
    <row r="59" spans="8:37" ht="15">
      <c r="H59" s="121"/>
      <c r="Z59" s="122"/>
      <c r="AE59" s="364"/>
      <c r="AH59" s="18"/>
      <c r="AI59" s="18"/>
      <c r="AJ59" s="18"/>
      <c r="AK59" s="18"/>
    </row>
    <row r="60" spans="8:37" ht="15">
      <c r="H60" s="121"/>
      <c r="Z60" s="122"/>
      <c r="AE60" s="364"/>
      <c r="AH60" s="18"/>
      <c r="AI60" s="18"/>
      <c r="AJ60" s="18"/>
      <c r="AK60" s="18"/>
    </row>
    <row r="61" spans="8:37" ht="15">
      <c r="H61" s="121"/>
      <c r="Z61" s="122"/>
      <c r="AE61" s="364"/>
      <c r="AH61" s="18"/>
      <c r="AI61" s="18"/>
      <c r="AJ61" s="18"/>
      <c r="AK61" s="18"/>
    </row>
    <row r="62" spans="8:37" ht="15">
      <c r="H62" s="121"/>
      <c r="Z62" s="122"/>
      <c r="AE62" s="364"/>
      <c r="AH62" s="18"/>
      <c r="AI62" s="18"/>
      <c r="AJ62" s="18"/>
      <c r="AK62" s="18"/>
    </row>
    <row r="63" spans="8:37" ht="15">
      <c r="H63" s="121"/>
      <c r="Z63" s="122"/>
      <c r="AE63" s="364"/>
      <c r="AH63" s="18"/>
      <c r="AI63" s="18"/>
      <c r="AJ63" s="18"/>
      <c r="AK63" s="18"/>
    </row>
    <row r="64" spans="8:37" ht="15">
      <c r="H64" s="121"/>
      <c r="Z64" s="122"/>
      <c r="AE64" s="364"/>
      <c r="AH64" s="18"/>
      <c r="AI64" s="18"/>
      <c r="AJ64" s="18"/>
      <c r="AK64" s="18"/>
    </row>
    <row r="65" spans="2:37" ht="15">
      <c r="B65" s="512" t="s">
        <v>432</v>
      </c>
      <c r="H65" s="121"/>
      <c r="Z65" s="122"/>
      <c r="AE65" s="364"/>
      <c r="AH65" s="18"/>
      <c r="AI65" s="18"/>
      <c r="AJ65" s="18"/>
      <c r="AK65" s="18"/>
    </row>
    <row r="66" spans="2:37" ht="15">
      <c r="B66" s="512" t="s">
        <v>435</v>
      </c>
      <c r="Z66" s="122"/>
      <c r="AE66" s="364"/>
      <c r="AH66" s="18"/>
      <c r="AI66" s="18"/>
      <c r="AJ66" s="18"/>
      <c r="AK66" s="18"/>
    </row>
    <row r="67" spans="26:37" ht="15">
      <c r="Z67" s="122"/>
      <c r="AE67" s="142"/>
      <c r="AH67" s="18"/>
      <c r="AI67" s="18"/>
      <c r="AJ67" s="18"/>
      <c r="AK67" s="18"/>
    </row>
    <row r="68" spans="26:37" ht="15">
      <c r="Z68" s="122"/>
      <c r="AE68" s="142"/>
      <c r="AH68" s="18"/>
      <c r="AI68" s="18"/>
      <c r="AJ68" s="18"/>
      <c r="AK68" s="18"/>
    </row>
    <row r="69" spans="26:37" ht="15">
      <c r="Z69" s="122"/>
      <c r="AE69" s="142"/>
      <c r="AH69" s="18"/>
      <c r="AI69" s="18"/>
      <c r="AJ69" s="18"/>
      <c r="AK69" s="18"/>
    </row>
    <row r="70" spans="26:37" ht="15">
      <c r="Z70" s="122"/>
      <c r="AE70" s="142"/>
      <c r="AH70" s="18"/>
      <c r="AI70" s="18"/>
      <c r="AJ70" s="18"/>
      <c r="AK70" s="18"/>
    </row>
    <row r="71" spans="26:37" ht="15">
      <c r="Z71" s="122"/>
      <c r="AE71" s="142"/>
      <c r="AH71" s="18"/>
      <c r="AI71" s="18"/>
      <c r="AJ71" s="18"/>
      <c r="AK71" s="18"/>
    </row>
    <row r="72" spans="26:37" ht="15">
      <c r="Z72" s="122"/>
      <c r="AE72" s="142"/>
      <c r="AH72" s="18"/>
      <c r="AI72" s="18"/>
      <c r="AJ72" s="18"/>
      <c r="AK72" s="18"/>
    </row>
    <row r="73" spans="26:37" ht="15">
      <c r="Z73" s="122"/>
      <c r="AE73" s="142"/>
      <c r="AH73" s="18"/>
      <c r="AI73" s="18"/>
      <c r="AJ73" s="18"/>
      <c r="AK73" s="18"/>
    </row>
    <row r="74" spans="26:37" ht="15">
      <c r="Z74" s="122"/>
      <c r="AE74" s="142"/>
      <c r="AH74" s="18"/>
      <c r="AI74" s="18"/>
      <c r="AJ74" s="18"/>
      <c r="AK74" s="18"/>
    </row>
    <row r="75" spans="26:37" ht="15">
      <c r="Z75" s="122"/>
      <c r="AE75" s="142"/>
      <c r="AH75" s="18"/>
      <c r="AI75" s="18"/>
      <c r="AJ75" s="18"/>
      <c r="AK75" s="18"/>
    </row>
    <row r="76" spans="26:37" ht="15">
      <c r="Z76" s="122"/>
      <c r="AE76" s="142"/>
      <c r="AH76" s="18"/>
      <c r="AI76" s="18"/>
      <c r="AJ76" s="18"/>
      <c r="AK76" s="18"/>
    </row>
    <row r="77" spans="26:37" ht="15">
      <c r="Z77" s="122"/>
      <c r="AE77" s="142"/>
      <c r="AH77" s="18"/>
      <c r="AI77" s="18"/>
      <c r="AJ77" s="18"/>
      <c r="AK77" s="18"/>
    </row>
    <row r="78" spans="26:37" ht="15">
      <c r="Z78" s="122"/>
      <c r="AE78" s="142"/>
      <c r="AH78" s="18"/>
      <c r="AI78" s="18"/>
      <c r="AJ78" s="18"/>
      <c r="AK78" s="18"/>
    </row>
    <row r="79" spans="26:37" ht="15">
      <c r="Z79" s="122"/>
      <c r="AE79" s="142"/>
      <c r="AH79" s="18"/>
      <c r="AI79" s="18"/>
      <c r="AJ79" s="18"/>
      <c r="AK79" s="18"/>
    </row>
    <row r="80" spans="26:37" ht="15">
      <c r="Z80" s="122"/>
      <c r="AE80" s="142"/>
      <c r="AH80" s="18"/>
      <c r="AI80" s="18"/>
      <c r="AJ80" s="18"/>
      <c r="AK80" s="18"/>
    </row>
    <row r="81" spans="26:37" ht="15">
      <c r="Z81" s="122"/>
      <c r="AE81" s="142"/>
      <c r="AH81" s="18"/>
      <c r="AI81" s="18"/>
      <c r="AJ81" s="18"/>
      <c r="AK81" s="18"/>
    </row>
    <row r="82" spans="26:37" ht="15">
      <c r="Z82" s="142"/>
      <c r="AE82" s="142"/>
      <c r="AH82" s="18"/>
      <c r="AI82" s="18"/>
      <c r="AJ82" s="18"/>
      <c r="AK82" s="18"/>
    </row>
    <row r="83" spans="26:37" ht="15">
      <c r="Z83" s="142"/>
      <c r="AE83" s="142"/>
      <c r="AH83" s="18"/>
      <c r="AI83" s="18"/>
      <c r="AJ83" s="18"/>
      <c r="AK83" s="18"/>
    </row>
    <row r="84" spans="26:37" ht="15">
      <c r="Z84" s="142"/>
      <c r="AE84" s="142"/>
      <c r="AH84" s="18"/>
      <c r="AI84" s="18"/>
      <c r="AJ84" s="18"/>
      <c r="AK84" s="18"/>
    </row>
    <row r="85" spans="26:37" ht="15">
      <c r="Z85" s="142"/>
      <c r="AE85" s="142"/>
      <c r="AH85" s="18"/>
      <c r="AI85" s="18"/>
      <c r="AJ85" s="18"/>
      <c r="AK85" s="18"/>
    </row>
    <row r="86" spans="26:37" ht="15">
      <c r="Z86" s="142"/>
      <c r="AE86" s="142"/>
      <c r="AH86" s="18"/>
      <c r="AI86" s="18"/>
      <c r="AJ86" s="18"/>
      <c r="AK86" s="18"/>
    </row>
    <row r="87" spans="26:37" ht="15">
      <c r="Z87" s="142"/>
      <c r="AE87" s="142"/>
      <c r="AH87" s="18"/>
      <c r="AI87" s="18"/>
      <c r="AJ87" s="18"/>
      <c r="AK87" s="18"/>
    </row>
    <row r="88" spans="26:37" ht="15">
      <c r="Z88" s="142"/>
      <c r="AE88" s="142"/>
      <c r="AH88" s="18"/>
      <c r="AI88" s="18"/>
      <c r="AJ88" s="18"/>
      <c r="AK88" s="18"/>
    </row>
    <row r="89" spans="26:37" ht="15">
      <c r="Z89" s="142"/>
      <c r="AE89" s="142"/>
      <c r="AH89" s="18"/>
      <c r="AI89" s="18"/>
      <c r="AJ89" s="18"/>
      <c r="AK89" s="18"/>
    </row>
    <row r="90" spans="26:37" ht="15">
      <c r="Z90" s="142"/>
      <c r="AE90" s="142"/>
      <c r="AH90" s="18"/>
      <c r="AI90" s="18"/>
      <c r="AJ90" s="18"/>
      <c r="AK90" s="18"/>
    </row>
    <row r="91" spans="26:37" ht="15">
      <c r="Z91" s="142"/>
      <c r="AE91" s="142"/>
      <c r="AH91" s="18"/>
      <c r="AI91" s="18"/>
      <c r="AJ91" s="18"/>
      <c r="AK91" s="18"/>
    </row>
    <row r="92" spans="26:37" ht="15">
      <c r="Z92" s="142"/>
      <c r="AE92" s="142"/>
      <c r="AH92" s="18"/>
      <c r="AI92" s="18"/>
      <c r="AJ92" s="18"/>
      <c r="AK92" s="18"/>
    </row>
    <row r="93" spans="26:31" ht="14.25">
      <c r="Z93" s="142"/>
      <c r="AE93" s="142"/>
    </row>
    <row r="94" spans="26:31" ht="14.25">
      <c r="Z94" s="142"/>
      <c r="AE94" s="142"/>
    </row>
    <row r="95" spans="26:31" ht="14.25">
      <c r="Z95" s="142"/>
      <c r="AE95" s="142"/>
    </row>
    <row r="96" spans="26:31" ht="14.25">
      <c r="Z96" s="142"/>
      <c r="AE96" s="142"/>
    </row>
    <row r="97" spans="26:31" ht="14.25">
      <c r="Z97" s="142"/>
      <c r="AE97" s="142"/>
    </row>
    <row r="98" spans="26:31" ht="14.25">
      <c r="Z98" s="142"/>
      <c r="AE98" s="142"/>
    </row>
  </sheetData>
  <sheetProtection/>
  <mergeCells count="1">
    <mergeCell ref="A2:C2"/>
  </mergeCells>
  <hyperlinks>
    <hyperlink ref="A2" location="Index!A1" display="Back to Index"/>
  </hyperlinks>
  <printOptions gridLines="1"/>
  <pageMargins left="0.75" right="0.3" top="0.5" bottom="0.5" header="0.5" footer="0"/>
  <pageSetup horizontalDpi="600" verticalDpi="600" orientation="landscape" paperSize="9" scale="65" r:id="rId1"/>
  <headerFooter alignWithMargins="0">
    <oddFooter>&amp;L&amp;8&amp;D\&amp;T&amp;R&amp;F&amp;A</oddFooter>
  </headerFooter>
  <ignoredErrors>
    <ignoredError sqref="Z6 AC6 AE6" formulaRange="1"/>
  </ignoredErrors>
</worksheet>
</file>

<file path=xl/worksheets/sheet14.xml><?xml version="1.0" encoding="utf-8"?>
<worksheet xmlns="http://schemas.openxmlformats.org/spreadsheetml/2006/main" xmlns:r="http://schemas.openxmlformats.org/officeDocument/2006/relationships">
  <sheetPr>
    <tabColor indexed="47"/>
    <pageSetUpPr fitToPage="1"/>
  </sheetPr>
  <dimension ref="A1:AK58"/>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K44" sqref="AK44"/>
    </sheetView>
  </sheetViews>
  <sheetFormatPr defaultColWidth="9.140625" defaultRowHeight="12.75" outlineLevelCol="1"/>
  <cols>
    <col min="1" max="1" width="4.00390625" style="20" customWidth="1"/>
    <col min="2" max="2" width="4.28125" style="20" customWidth="1"/>
    <col min="3" max="3" width="53.57421875" style="5" customWidth="1"/>
    <col min="4" max="4" width="9.8515625" style="126" hidden="1" customWidth="1" outlineLevel="1"/>
    <col min="5" max="8" width="9.8515625" style="121" hidden="1" customWidth="1" outlineLevel="1"/>
    <col min="9" max="9" width="3.57421875" style="121" hidden="1" customWidth="1" outlineLevel="1"/>
    <col min="10" max="17" width="9.8515625" style="121" hidden="1" customWidth="1" outlineLevel="1"/>
    <col min="18" max="19" width="9.8515625" style="121" hidden="1" customWidth="1" outlineLevel="1" collapsed="1"/>
    <col min="20" max="21" width="9.8515625" style="121" hidden="1" customWidth="1" outlineLevel="1"/>
    <col min="22" max="22" width="9.8515625" style="121" customWidth="1" collapsed="1"/>
    <col min="23" max="25" width="9.8515625" style="121" customWidth="1"/>
    <col min="26" max="26" width="10.28125" style="122" bestFit="1" customWidth="1"/>
    <col min="27" max="28" width="9.8515625" style="121" bestFit="1" customWidth="1"/>
    <col min="29" max="29" width="2.8515625" style="19" customWidth="1"/>
    <col min="30" max="30" width="9.8515625" style="121" hidden="1" customWidth="1"/>
    <col min="31" max="31" width="10.00390625" style="122" hidden="1" customWidth="1"/>
    <col min="32" max="32" width="7.8515625" style="121" hidden="1" customWidth="1"/>
    <col min="33" max="16384" width="9.140625" style="20" customWidth="1"/>
  </cols>
  <sheetData>
    <row r="1" spans="1:32" s="42" customFormat="1" ht="20.25">
      <c r="A1" s="41" t="s">
        <v>117</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43"/>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c r="AB2" s="290"/>
      <c r="AD2" s="74" t="s">
        <v>366</v>
      </c>
      <c r="AE2" s="74" t="s">
        <v>392</v>
      </c>
      <c r="AF2" s="290" t="s">
        <v>393</v>
      </c>
    </row>
    <row r="3" spans="1:32" s="24" customFormat="1" ht="14.25" customHeight="1">
      <c r="A3" s="47"/>
      <c r="B3" s="31"/>
      <c r="D3" s="8"/>
      <c r="E3" s="17"/>
      <c r="F3" s="17"/>
      <c r="G3" s="17"/>
      <c r="H3" s="17"/>
      <c r="I3" s="17"/>
      <c r="J3" s="17"/>
      <c r="K3" s="17"/>
      <c r="L3" s="17"/>
      <c r="M3" s="17"/>
      <c r="N3" s="17"/>
      <c r="O3" s="17"/>
      <c r="P3" s="17"/>
      <c r="Q3" s="17"/>
      <c r="R3" s="17"/>
      <c r="S3" s="17"/>
      <c r="T3" s="17"/>
      <c r="U3" s="17"/>
      <c r="V3" s="17"/>
      <c r="W3" s="17"/>
      <c r="X3" s="17"/>
      <c r="Y3" s="17"/>
      <c r="Z3" s="125"/>
      <c r="AA3" s="17"/>
      <c r="AB3" s="17"/>
      <c r="AD3" s="17"/>
      <c r="AE3" s="125"/>
      <c r="AF3" s="17"/>
    </row>
    <row r="4" spans="1:31" ht="15">
      <c r="A4" s="46" t="s">
        <v>224</v>
      </c>
      <c r="B4" s="38"/>
      <c r="Z4" s="153"/>
      <c r="AE4" s="153"/>
    </row>
    <row r="5" spans="1:31" ht="15">
      <c r="A5" s="18"/>
      <c r="B5" s="20" t="s">
        <v>416</v>
      </c>
      <c r="C5" s="20"/>
      <c r="D5" s="121"/>
      <c r="Z5" s="153">
        <v>9496</v>
      </c>
      <c r="AA5" s="75"/>
      <c r="AB5" s="75"/>
      <c r="AE5" s="153"/>
    </row>
    <row r="6" spans="2:32" s="18" customFormat="1" ht="15">
      <c r="B6" s="20" t="s">
        <v>120</v>
      </c>
      <c r="D6" s="17"/>
      <c r="E6" s="17"/>
      <c r="F6" s="17"/>
      <c r="G6" s="17"/>
      <c r="H6" s="17"/>
      <c r="I6" s="17"/>
      <c r="J6" s="17"/>
      <c r="K6" s="17"/>
      <c r="L6" s="17"/>
      <c r="M6" s="17"/>
      <c r="N6" s="17"/>
      <c r="O6" s="17"/>
      <c r="P6" s="17"/>
      <c r="Q6" s="17"/>
      <c r="R6" s="17"/>
      <c r="S6" s="17"/>
      <c r="T6" s="17"/>
      <c r="U6" s="17"/>
      <c r="V6" s="17"/>
      <c r="W6" s="17"/>
      <c r="X6" s="17"/>
      <c r="Y6" s="17"/>
      <c r="Z6" s="153">
        <v>22707</v>
      </c>
      <c r="AA6" s="75"/>
      <c r="AB6" s="75"/>
      <c r="AC6" s="15"/>
      <c r="AD6" s="17"/>
      <c r="AE6" s="408"/>
      <c r="AF6" s="17"/>
    </row>
    <row r="7" spans="2:32" ht="14.25">
      <c r="B7" s="20" t="s">
        <v>417</v>
      </c>
      <c r="C7" s="20"/>
      <c r="D7" s="139"/>
      <c r="Z7" s="153">
        <v>-1240</v>
      </c>
      <c r="AA7" s="75"/>
      <c r="AB7" s="75"/>
      <c r="AD7" s="75"/>
      <c r="AE7" s="153"/>
      <c r="AF7" s="75"/>
    </row>
    <row r="8" spans="2:32" ht="15">
      <c r="B8" s="18" t="s">
        <v>418</v>
      </c>
      <c r="C8" s="18"/>
      <c r="D8" s="133"/>
      <c r="E8" s="17"/>
      <c r="F8" s="17"/>
      <c r="G8" s="17"/>
      <c r="H8" s="17"/>
      <c r="I8" s="17"/>
      <c r="J8" s="17"/>
      <c r="K8" s="17"/>
      <c r="L8" s="17"/>
      <c r="M8" s="17"/>
      <c r="N8" s="17"/>
      <c r="O8" s="17"/>
      <c r="P8" s="17"/>
      <c r="Q8" s="17"/>
      <c r="R8" s="17"/>
      <c r="S8" s="17"/>
      <c r="T8" s="17"/>
      <c r="U8" s="17"/>
      <c r="V8" s="17"/>
      <c r="W8" s="17"/>
      <c r="X8" s="17"/>
      <c r="Y8" s="17"/>
      <c r="Z8" s="408">
        <f>SUM(Z5:Z7)</f>
        <v>30963</v>
      </c>
      <c r="AA8" s="17"/>
      <c r="AB8" s="17"/>
      <c r="AD8" s="75"/>
      <c r="AE8" s="153"/>
      <c r="AF8" s="75"/>
    </row>
    <row r="9" spans="3:32" ht="14.25">
      <c r="C9" s="20"/>
      <c r="D9" s="139"/>
      <c r="Z9" s="153"/>
      <c r="AB9" s="75"/>
      <c r="AD9" s="75"/>
      <c r="AE9" s="153"/>
      <c r="AF9" s="75"/>
    </row>
    <row r="10" spans="2:31" ht="14.25">
      <c r="B10" s="20" t="s">
        <v>419</v>
      </c>
      <c r="C10" s="20"/>
      <c r="D10" s="139"/>
      <c r="Z10" s="153">
        <v>3746</v>
      </c>
      <c r="AA10" s="75"/>
      <c r="AB10" s="75"/>
      <c r="AD10" s="75"/>
      <c r="AE10" s="153"/>
    </row>
    <row r="11" spans="2:32" ht="14.25">
      <c r="B11" s="102" t="s">
        <v>420</v>
      </c>
      <c r="C11" s="20"/>
      <c r="D11" s="139"/>
      <c r="Z11" s="153">
        <v>-3746</v>
      </c>
      <c r="AA11" s="75"/>
      <c r="AB11" s="75"/>
      <c r="AD11" s="75"/>
      <c r="AE11" s="153"/>
      <c r="AF11" s="75"/>
    </row>
    <row r="12" spans="2:32" ht="15">
      <c r="B12" s="508" t="s">
        <v>421</v>
      </c>
      <c r="C12" s="18"/>
      <c r="D12" s="133"/>
      <c r="E12" s="17"/>
      <c r="F12" s="17"/>
      <c r="G12" s="17"/>
      <c r="H12" s="17"/>
      <c r="I12" s="17"/>
      <c r="J12" s="17"/>
      <c r="K12" s="17"/>
      <c r="L12" s="17"/>
      <c r="M12" s="17"/>
      <c r="N12" s="17"/>
      <c r="O12" s="17"/>
      <c r="P12" s="17"/>
      <c r="Q12" s="17"/>
      <c r="R12" s="17"/>
      <c r="S12" s="17"/>
      <c r="T12" s="17"/>
      <c r="U12" s="17"/>
      <c r="V12" s="17">
        <v>27870</v>
      </c>
      <c r="W12" s="17"/>
      <c r="X12" s="17"/>
      <c r="Y12" s="17">
        <v>30196</v>
      </c>
      <c r="Z12" s="408">
        <f>SUM(Z8:Z11)</f>
        <v>30963</v>
      </c>
      <c r="AA12" s="17"/>
      <c r="AB12" s="17"/>
      <c r="AC12" s="15"/>
      <c r="AD12" s="75"/>
      <c r="AE12" s="153"/>
      <c r="AF12" s="75"/>
    </row>
    <row r="13" spans="2:32" ht="14.25">
      <c r="B13" s="102"/>
      <c r="C13" s="20"/>
      <c r="D13" s="139"/>
      <c r="Z13" s="153"/>
      <c r="AA13" s="75"/>
      <c r="AB13" s="75"/>
      <c r="AD13" s="75"/>
      <c r="AE13" s="153"/>
      <c r="AF13" s="75"/>
    </row>
    <row r="14" spans="2:32" ht="14.25">
      <c r="B14" s="102" t="s">
        <v>422</v>
      </c>
      <c r="C14" s="20"/>
      <c r="D14" s="139"/>
      <c r="Z14" s="153">
        <v>1259</v>
      </c>
      <c r="AA14" s="75"/>
      <c r="AB14" s="75"/>
      <c r="AD14" s="75"/>
      <c r="AE14" s="153"/>
      <c r="AF14" s="75"/>
    </row>
    <row r="15" spans="2:32" ht="14.25">
      <c r="B15" s="102" t="s">
        <v>423</v>
      </c>
      <c r="C15" s="20"/>
      <c r="D15" s="139"/>
      <c r="Z15" s="153">
        <v>4955</v>
      </c>
      <c r="AA15" s="75"/>
      <c r="AB15" s="75"/>
      <c r="AD15" s="75"/>
      <c r="AE15" s="153"/>
      <c r="AF15" s="75"/>
    </row>
    <row r="16" spans="2:32" ht="14.25">
      <c r="B16" s="102" t="s">
        <v>424</v>
      </c>
      <c r="C16" s="20"/>
      <c r="D16" s="139"/>
      <c r="Z16" s="153">
        <v>-1</v>
      </c>
      <c r="AA16" s="75"/>
      <c r="AB16" s="75"/>
      <c r="AD16" s="75"/>
      <c r="AE16" s="153"/>
      <c r="AF16" s="75"/>
    </row>
    <row r="17" spans="2:32" ht="15">
      <c r="B17" s="508" t="s">
        <v>425</v>
      </c>
      <c r="C17" s="18"/>
      <c r="D17" s="133"/>
      <c r="E17" s="17"/>
      <c r="F17" s="17"/>
      <c r="G17" s="17"/>
      <c r="H17" s="17"/>
      <c r="I17" s="17"/>
      <c r="J17" s="17"/>
      <c r="K17" s="17"/>
      <c r="L17" s="17"/>
      <c r="M17" s="17"/>
      <c r="N17" s="17"/>
      <c r="O17" s="17"/>
      <c r="P17" s="17"/>
      <c r="Q17" s="17"/>
      <c r="R17" s="17"/>
      <c r="S17" s="17"/>
      <c r="T17" s="17"/>
      <c r="U17" s="17"/>
      <c r="V17" s="17">
        <v>36051</v>
      </c>
      <c r="W17" s="17"/>
      <c r="X17" s="17"/>
      <c r="Y17" s="17">
        <v>36831</v>
      </c>
      <c r="Z17" s="408">
        <f>SUM(Z12:Z16)</f>
        <v>37176</v>
      </c>
      <c r="AA17" s="17"/>
      <c r="AB17" s="17"/>
      <c r="AD17" s="75"/>
      <c r="AE17" s="153"/>
      <c r="AF17" s="75"/>
    </row>
    <row r="18" spans="2:37" s="24" customFormat="1" ht="6" customHeight="1">
      <c r="B18" s="31"/>
      <c r="C18" s="26"/>
      <c r="D18" s="133"/>
      <c r="E18" s="17"/>
      <c r="F18" s="17"/>
      <c r="G18" s="17"/>
      <c r="H18" s="17"/>
      <c r="I18" s="17"/>
      <c r="J18" s="17"/>
      <c r="K18" s="17"/>
      <c r="L18" s="17"/>
      <c r="M18" s="17"/>
      <c r="N18" s="17"/>
      <c r="O18" s="17"/>
      <c r="P18" s="17"/>
      <c r="Q18" s="17"/>
      <c r="R18" s="17"/>
      <c r="S18" s="17"/>
      <c r="T18" s="17"/>
      <c r="U18" s="17"/>
      <c r="V18" s="17"/>
      <c r="W18" s="17"/>
      <c r="X18" s="17"/>
      <c r="Y18" s="17"/>
      <c r="Z18" s="153"/>
      <c r="AA18" s="17"/>
      <c r="AB18" s="17"/>
      <c r="AD18" s="17"/>
      <c r="AE18" s="408"/>
      <c r="AF18" s="17"/>
      <c r="AI18" s="20"/>
      <c r="AJ18" s="20"/>
      <c r="AK18" s="20"/>
    </row>
    <row r="19" spans="1:33" ht="15">
      <c r="A19" s="508" t="s">
        <v>426</v>
      </c>
      <c r="C19" s="18"/>
      <c r="D19" s="133"/>
      <c r="E19" s="17"/>
      <c r="F19" s="17"/>
      <c r="G19" s="17"/>
      <c r="H19" s="17"/>
      <c r="I19" s="17"/>
      <c r="J19" s="17"/>
      <c r="K19" s="17"/>
      <c r="L19" s="17"/>
      <c r="M19" s="17"/>
      <c r="N19" s="17"/>
      <c r="O19" s="17"/>
      <c r="P19" s="17"/>
      <c r="Q19" s="17"/>
      <c r="R19" s="17"/>
      <c r="S19" s="17"/>
      <c r="T19" s="17"/>
      <c r="U19" s="17"/>
      <c r="V19" s="17">
        <v>219702</v>
      </c>
      <c r="W19" s="17"/>
      <c r="X19" s="17"/>
      <c r="Y19" s="17">
        <v>215591</v>
      </c>
      <c r="Z19" s="408">
        <v>240359</v>
      </c>
      <c r="AA19" s="17"/>
      <c r="AB19" s="17"/>
      <c r="AC19" s="15"/>
      <c r="AD19" s="17"/>
      <c r="AE19" s="408"/>
      <c r="AF19" s="17"/>
      <c r="AG19" s="18"/>
    </row>
    <row r="20" spans="2:33" ht="15">
      <c r="B20" s="508"/>
      <c r="C20" s="18"/>
      <c r="D20" s="133"/>
      <c r="E20" s="17"/>
      <c r="F20" s="17"/>
      <c r="G20" s="17"/>
      <c r="H20" s="17"/>
      <c r="I20" s="17"/>
      <c r="J20" s="17"/>
      <c r="K20" s="17"/>
      <c r="L20" s="17"/>
      <c r="M20" s="17"/>
      <c r="N20" s="17"/>
      <c r="O20" s="17"/>
      <c r="P20" s="17"/>
      <c r="Q20" s="17"/>
      <c r="R20" s="17"/>
      <c r="S20" s="17"/>
      <c r="T20" s="17"/>
      <c r="U20" s="17"/>
      <c r="V20" s="17"/>
      <c r="W20" s="17"/>
      <c r="X20" s="17"/>
      <c r="Y20" s="17"/>
      <c r="Z20" s="408"/>
      <c r="AA20" s="17"/>
      <c r="AB20" s="17"/>
      <c r="AC20" s="15"/>
      <c r="AD20" s="17"/>
      <c r="AE20" s="408"/>
      <c r="AF20" s="17"/>
      <c r="AG20" s="18"/>
    </row>
    <row r="21" spans="2:33" ht="15">
      <c r="B21" s="508"/>
      <c r="C21" s="18"/>
      <c r="D21" s="133"/>
      <c r="E21" s="17"/>
      <c r="F21" s="17"/>
      <c r="G21" s="17"/>
      <c r="H21" s="17"/>
      <c r="I21" s="17"/>
      <c r="J21" s="17"/>
      <c r="K21" s="17"/>
      <c r="L21" s="17"/>
      <c r="M21" s="17"/>
      <c r="N21" s="17"/>
      <c r="O21" s="17"/>
      <c r="P21" s="17"/>
      <c r="Q21" s="17"/>
      <c r="R21" s="17"/>
      <c r="S21" s="17"/>
      <c r="T21" s="17"/>
      <c r="U21" s="17"/>
      <c r="V21" s="17"/>
      <c r="W21" s="17"/>
      <c r="X21" s="17"/>
      <c r="Y21" s="17"/>
      <c r="Z21" s="408"/>
      <c r="AA21" s="17"/>
      <c r="AB21" s="17"/>
      <c r="AC21" s="15"/>
      <c r="AD21" s="17"/>
      <c r="AE21" s="408"/>
      <c r="AF21" s="17"/>
      <c r="AG21" s="18"/>
    </row>
    <row r="22" spans="1:33" ht="15">
      <c r="A22" s="508" t="s">
        <v>427</v>
      </c>
      <c r="C22" s="18"/>
      <c r="D22" s="133"/>
      <c r="E22" s="17"/>
      <c r="F22" s="17"/>
      <c r="G22" s="17"/>
      <c r="H22" s="17"/>
      <c r="I22" s="17"/>
      <c r="J22" s="17"/>
      <c r="K22" s="17"/>
      <c r="L22" s="17"/>
      <c r="M22" s="17"/>
      <c r="N22" s="17"/>
      <c r="O22" s="17"/>
      <c r="P22" s="17"/>
      <c r="Q22" s="17"/>
      <c r="R22" s="17"/>
      <c r="S22" s="17"/>
      <c r="T22" s="17"/>
      <c r="U22" s="17"/>
      <c r="V22" s="17"/>
      <c r="W22" s="17"/>
      <c r="X22" s="17"/>
      <c r="Y22" s="17"/>
      <c r="Z22" s="408"/>
      <c r="AA22" s="17"/>
      <c r="AB22" s="17"/>
      <c r="AC22" s="15"/>
      <c r="AD22" s="17"/>
      <c r="AE22" s="408"/>
      <c r="AF22" s="17"/>
      <c r="AG22" s="18"/>
    </row>
    <row r="23" spans="2:33" ht="15">
      <c r="B23" s="508" t="s">
        <v>418</v>
      </c>
      <c r="C23" s="18"/>
      <c r="D23" s="133"/>
      <c r="E23" s="17"/>
      <c r="F23" s="17"/>
      <c r="G23" s="17"/>
      <c r="H23" s="17"/>
      <c r="I23" s="17"/>
      <c r="J23" s="17"/>
      <c r="K23" s="17"/>
      <c r="L23" s="17"/>
      <c r="M23" s="17"/>
      <c r="N23" s="17"/>
      <c r="O23" s="17"/>
      <c r="P23" s="17"/>
      <c r="Q23" s="17"/>
      <c r="R23" s="17"/>
      <c r="S23" s="17"/>
      <c r="T23" s="17"/>
      <c r="U23" s="17"/>
      <c r="V23" s="509" t="s">
        <v>430</v>
      </c>
      <c r="W23" s="509"/>
      <c r="X23" s="509"/>
      <c r="Y23" s="509" t="s">
        <v>430</v>
      </c>
      <c r="Z23" s="510">
        <v>12.9</v>
      </c>
      <c r="AA23" s="134"/>
      <c r="AB23" s="134"/>
      <c r="AC23" s="15"/>
      <c r="AD23" s="17"/>
      <c r="AE23" s="408"/>
      <c r="AF23" s="17"/>
      <c r="AG23" s="18"/>
    </row>
    <row r="24" spans="2:33" ht="15">
      <c r="B24" s="508" t="s">
        <v>118</v>
      </c>
      <c r="C24" s="18"/>
      <c r="D24" s="133"/>
      <c r="E24" s="17"/>
      <c r="F24" s="17"/>
      <c r="G24" s="17"/>
      <c r="H24" s="17"/>
      <c r="I24" s="17"/>
      <c r="J24" s="17"/>
      <c r="K24" s="17"/>
      <c r="L24" s="17"/>
      <c r="M24" s="17"/>
      <c r="N24" s="17"/>
      <c r="O24" s="17"/>
      <c r="P24" s="17"/>
      <c r="Q24" s="17"/>
      <c r="R24" s="17"/>
      <c r="S24" s="17"/>
      <c r="T24" s="17"/>
      <c r="U24" s="17"/>
      <c r="V24" s="509">
        <v>12.7</v>
      </c>
      <c r="W24" s="509"/>
      <c r="X24" s="509"/>
      <c r="Y24" s="509">
        <v>14</v>
      </c>
      <c r="Z24" s="510">
        <v>12.9</v>
      </c>
      <c r="AA24" s="134"/>
      <c r="AB24" s="134"/>
      <c r="AC24" s="15"/>
      <c r="AD24" s="17"/>
      <c r="AE24" s="408"/>
      <c r="AF24" s="17"/>
      <c r="AG24" s="18"/>
    </row>
    <row r="25" spans="2:33" ht="15">
      <c r="B25" s="508" t="s">
        <v>428</v>
      </c>
      <c r="C25" s="18"/>
      <c r="D25" s="133"/>
      <c r="E25" s="17"/>
      <c r="F25" s="17"/>
      <c r="G25" s="17"/>
      <c r="H25" s="17"/>
      <c r="I25" s="17"/>
      <c r="J25" s="17"/>
      <c r="K25" s="17"/>
      <c r="L25" s="17"/>
      <c r="M25" s="17"/>
      <c r="N25" s="17"/>
      <c r="O25" s="17"/>
      <c r="P25" s="17"/>
      <c r="Q25" s="17"/>
      <c r="R25" s="17"/>
      <c r="S25" s="17"/>
      <c r="T25" s="17"/>
      <c r="U25" s="17"/>
      <c r="V25" s="509">
        <v>16.4</v>
      </c>
      <c r="W25" s="509"/>
      <c r="X25" s="509"/>
      <c r="Y25" s="509">
        <v>17.1</v>
      </c>
      <c r="Z25" s="510">
        <v>15.5</v>
      </c>
      <c r="AA25" s="134"/>
      <c r="AB25" s="134"/>
      <c r="AC25" s="15"/>
      <c r="AD25" s="17"/>
      <c r="AE25" s="408"/>
      <c r="AF25" s="17"/>
      <c r="AG25" s="18"/>
    </row>
    <row r="26" spans="2:37" s="24" customFormat="1" ht="6" customHeight="1">
      <c r="B26" s="31"/>
      <c r="C26" s="26"/>
      <c r="D26" s="133"/>
      <c r="E26" s="17"/>
      <c r="F26" s="17"/>
      <c r="G26" s="17"/>
      <c r="H26" s="17"/>
      <c r="I26" s="17"/>
      <c r="J26" s="17"/>
      <c r="K26" s="17"/>
      <c r="L26" s="17"/>
      <c r="M26" s="17"/>
      <c r="N26" s="17"/>
      <c r="O26" s="17"/>
      <c r="P26" s="17"/>
      <c r="Q26" s="17"/>
      <c r="R26" s="17"/>
      <c r="S26" s="17"/>
      <c r="T26" s="17"/>
      <c r="U26" s="17"/>
      <c r="V26" s="509"/>
      <c r="W26" s="509"/>
      <c r="X26" s="509"/>
      <c r="Y26" s="509"/>
      <c r="Z26" s="511"/>
      <c r="AA26" s="17"/>
      <c r="AB26" s="17"/>
      <c r="AD26" s="17"/>
      <c r="AE26" s="408"/>
      <c r="AF26" s="17"/>
      <c r="AI26" s="20"/>
      <c r="AJ26" s="20"/>
      <c r="AK26" s="20"/>
    </row>
    <row r="27" spans="2:32" ht="15">
      <c r="B27" s="18" t="s">
        <v>429</v>
      </c>
      <c r="C27" s="18"/>
      <c r="D27" s="133"/>
      <c r="E27" s="17"/>
      <c r="F27" s="17"/>
      <c r="G27" s="17"/>
      <c r="H27" s="17"/>
      <c r="I27" s="17"/>
      <c r="J27" s="17"/>
      <c r="K27" s="17"/>
      <c r="L27" s="17"/>
      <c r="M27" s="17"/>
      <c r="N27" s="17"/>
      <c r="O27" s="17"/>
      <c r="P27" s="17"/>
      <c r="Q27" s="17"/>
      <c r="R27" s="17"/>
      <c r="S27" s="17"/>
      <c r="T27" s="17"/>
      <c r="U27" s="17"/>
      <c r="V27" s="509" t="s">
        <v>430</v>
      </c>
      <c r="W27" s="509"/>
      <c r="X27" s="509"/>
      <c r="Y27" s="509" t="s">
        <v>430</v>
      </c>
      <c r="Z27" s="510">
        <v>11.3</v>
      </c>
      <c r="AA27" s="134"/>
      <c r="AB27" s="134"/>
      <c r="AD27" s="75"/>
      <c r="AE27" s="153"/>
      <c r="AF27" s="75"/>
    </row>
    <row r="28" spans="2:37" s="26" customFormat="1" ht="14.25">
      <c r="B28" s="36"/>
      <c r="D28" s="132"/>
      <c r="E28" s="75"/>
      <c r="F28" s="75"/>
      <c r="G28" s="75"/>
      <c r="H28" s="121"/>
      <c r="I28" s="75"/>
      <c r="J28" s="75"/>
      <c r="K28" s="75"/>
      <c r="L28" s="75"/>
      <c r="M28" s="75"/>
      <c r="N28" s="75"/>
      <c r="O28" s="75"/>
      <c r="P28" s="75"/>
      <c r="Q28" s="75"/>
      <c r="R28" s="75"/>
      <c r="S28" s="75"/>
      <c r="T28" s="75"/>
      <c r="U28" s="75"/>
      <c r="V28" s="75"/>
      <c r="W28" s="75"/>
      <c r="X28" s="75"/>
      <c r="Y28" s="75"/>
      <c r="Z28" s="480"/>
      <c r="AA28" s="75"/>
      <c r="AB28" s="75"/>
      <c r="AD28" s="75"/>
      <c r="AE28" s="153"/>
      <c r="AF28" s="75"/>
      <c r="AI28" s="20"/>
      <c r="AJ28" s="20"/>
      <c r="AK28" s="20"/>
    </row>
    <row r="29" spans="2:37" s="18" customFormat="1" ht="15">
      <c r="B29" s="106"/>
      <c r="D29" s="133"/>
      <c r="E29" s="17"/>
      <c r="F29" s="17"/>
      <c r="G29" s="17"/>
      <c r="H29" s="17"/>
      <c r="I29" s="17"/>
      <c r="J29" s="17"/>
      <c r="K29" s="17"/>
      <c r="L29" s="17"/>
      <c r="M29" s="17"/>
      <c r="N29" s="17"/>
      <c r="O29" s="17"/>
      <c r="P29" s="17"/>
      <c r="Q29" s="17"/>
      <c r="R29" s="17"/>
      <c r="S29" s="17"/>
      <c r="T29" s="17"/>
      <c r="U29" s="17"/>
      <c r="V29" s="17"/>
      <c r="W29" s="17"/>
      <c r="X29" s="17"/>
      <c r="Y29" s="17"/>
      <c r="Z29" s="125"/>
      <c r="AA29" s="17"/>
      <c r="AB29" s="17"/>
      <c r="AC29" s="15"/>
      <c r="AD29" s="17"/>
      <c r="AE29" s="125"/>
      <c r="AF29" s="17"/>
      <c r="AI29" s="20"/>
      <c r="AJ29" s="20"/>
      <c r="AK29" s="20"/>
    </row>
    <row r="30" spans="2:31" ht="15">
      <c r="B30" s="38"/>
      <c r="D30" s="140"/>
      <c r="Z30" s="482"/>
      <c r="AD30" s="75"/>
      <c r="AE30" s="456"/>
    </row>
    <row r="31" spans="1:31" ht="15">
      <c r="A31" s="46" t="s">
        <v>226</v>
      </c>
      <c r="B31" s="38"/>
      <c r="Z31" s="482"/>
      <c r="AD31" s="75"/>
      <c r="AE31" s="456"/>
    </row>
    <row r="32" spans="2:37" s="62" customFormat="1" ht="15">
      <c r="B32" s="62" t="s">
        <v>126</v>
      </c>
      <c r="D32" s="134">
        <v>10.1</v>
      </c>
      <c r="E32" s="134">
        <v>13.1</v>
      </c>
      <c r="F32" s="134">
        <v>15.1</v>
      </c>
      <c r="G32" s="134">
        <v>12.9</v>
      </c>
      <c r="H32" s="134">
        <v>14</v>
      </c>
      <c r="I32" s="134"/>
      <c r="J32" s="134">
        <v>12.5</v>
      </c>
      <c r="K32" s="134">
        <v>12.6</v>
      </c>
      <c r="L32" s="134">
        <v>12.5</v>
      </c>
      <c r="M32" s="134">
        <v>13.1</v>
      </c>
      <c r="N32" s="134">
        <v>13.4</v>
      </c>
      <c r="O32" s="134">
        <v>13.1</v>
      </c>
      <c r="P32" s="134">
        <v>13.1</v>
      </c>
      <c r="Q32" s="134">
        <v>15.1</v>
      </c>
      <c r="R32" s="134">
        <v>14.2</v>
      </c>
      <c r="S32" s="134">
        <v>13.5</v>
      </c>
      <c r="T32" s="134">
        <v>12.6</v>
      </c>
      <c r="U32" s="134">
        <v>12.9</v>
      </c>
      <c r="V32" s="134">
        <v>12.7</v>
      </c>
      <c r="W32" s="134">
        <v>12.8</v>
      </c>
      <c r="X32" s="134">
        <v>13.4</v>
      </c>
      <c r="Y32" s="134">
        <v>14</v>
      </c>
      <c r="Z32" s="456">
        <v>12.9</v>
      </c>
      <c r="AA32" s="134"/>
      <c r="AB32" s="134"/>
      <c r="AC32" s="65"/>
      <c r="AD32" s="134">
        <v>12.9</v>
      </c>
      <c r="AE32" s="456">
        <v>14</v>
      </c>
      <c r="AF32" s="134">
        <f>AE32-AD32</f>
        <v>1.0999999999999996</v>
      </c>
      <c r="AI32" s="20"/>
      <c r="AJ32" s="20"/>
      <c r="AK32" s="20"/>
    </row>
    <row r="33" spans="2:37" s="62" customFormat="1" ht="15">
      <c r="B33" s="62" t="s">
        <v>127</v>
      </c>
      <c r="D33" s="134">
        <v>3.9</v>
      </c>
      <c r="E33" s="134">
        <v>3.6</v>
      </c>
      <c r="F33" s="134">
        <v>3.3</v>
      </c>
      <c r="G33" s="134">
        <v>2.9</v>
      </c>
      <c r="H33" s="134">
        <v>3.1000000000000014</v>
      </c>
      <c r="I33" s="134"/>
      <c r="J33" s="134">
        <v>4.2</v>
      </c>
      <c r="K33" s="134">
        <v>3.6</v>
      </c>
      <c r="L33" s="134">
        <v>3.6</v>
      </c>
      <c r="M33" s="134">
        <v>3.6</v>
      </c>
      <c r="N33" s="134">
        <v>3.7</v>
      </c>
      <c r="O33" s="134">
        <v>3.4</v>
      </c>
      <c r="P33" s="134">
        <v>3.2</v>
      </c>
      <c r="Q33" s="134">
        <v>3.3</v>
      </c>
      <c r="R33" s="134">
        <v>3</v>
      </c>
      <c r="S33" s="134">
        <v>3</v>
      </c>
      <c r="T33" s="134">
        <v>2.9</v>
      </c>
      <c r="U33" s="134">
        <v>2.9</v>
      </c>
      <c r="V33" s="134">
        <v>3.7</v>
      </c>
      <c r="W33" s="134">
        <v>2.5999999999999996</v>
      </c>
      <c r="X33" s="134">
        <v>3.1</v>
      </c>
      <c r="Y33" s="134">
        <v>3.1000000000000014</v>
      </c>
      <c r="Z33" s="456">
        <v>2.6</v>
      </c>
      <c r="AA33" s="134"/>
      <c r="AB33" s="134"/>
      <c r="AC33" s="65"/>
      <c r="AD33" s="134">
        <v>2.9</v>
      </c>
      <c r="AE33" s="456">
        <f>AE34-AE32</f>
        <v>3.1000000000000014</v>
      </c>
      <c r="AF33" s="134">
        <f>AE33-AD33</f>
        <v>0.2000000000000015</v>
      </c>
      <c r="AI33" s="20"/>
      <c r="AJ33" s="20"/>
      <c r="AK33" s="20"/>
    </row>
    <row r="34" spans="2:37" s="62" customFormat="1" ht="15">
      <c r="B34" s="62" t="s">
        <v>128</v>
      </c>
      <c r="D34" s="134">
        <v>14</v>
      </c>
      <c r="E34" s="134">
        <v>16.7</v>
      </c>
      <c r="F34" s="134">
        <v>18.4</v>
      </c>
      <c r="G34" s="134">
        <v>15.8</v>
      </c>
      <c r="H34" s="134">
        <v>17.1</v>
      </c>
      <c r="I34" s="134"/>
      <c r="J34" s="134">
        <v>16.7</v>
      </c>
      <c r="K34" s="134">
        <f>SUM(K32:K33)</f>
        <v>16.2</v>
      </c>
      <c r="L34" s="134">
        <v>16.1</v>
      </c>
      <c r="M34" s="134">
        <v>16.7</v>
      </c>
      <c r="N34" s="134">
        <v>17.1</v>
      </c>
      <c r="O34" s="134">
        <v>16.5</v>
      </c>
      <c r="P34" s="134">
        <v>16.3</v>
      </c>
      <c r="Q34" s="134">
        <v>18.4</v>
      </c>
      <c r="R34" s="134">
        <v>17.2</v>
      </c>
      <c r="S34" s="134">
        <v>16.5</v>
      </c>
      <c r="T34" s="134">
        <v>15.5</v>
      </c>
      <c r="U34" s="134">
        <v>15.8</v>
      </c>
      <c r="V34" s="134">
        <v>16.4</v>
      </c>
      <c r="W34" s="134">
        <v>15.4</v>
      </c>
      <c r="X34" s="134">
        <v>16.5</v>
      </c>
      <c r="Y34" s="134">
        <v>17.1</v>
      </c>
      <c r="Z34" s="456">
        <f>SUM(Z32:Z33)</f>
        <v>15.5</v>
      </c>
      <c r="AA34" s="134"/>
      <c r="AB34" s="134"/>
      <c r="AC34" s="65"/>
      <c r="AD34" s="134">
        <v>15.8</v>
      </c>
      <c r="AE34" s="456">
        <v>17.1</v>
      </c>
      <c r="AF34" s="134">
        <f>AE34-AD34</f>
        <v>1.3000000000000007</v>
      </c>
      <c r="AI34" s="20"/>
      <c r="AJ34" s="20"/>
      <c r="AK34" s="20"/>
    </row>
    <row r="36" ht="14.25">
      <c r="H36" s="171"/>
    </row>
    <row r="37" spans="1:31" ht="15">
      <c r="A37" s="46" t="s">
        <v>224</v>
      </c>
      <c r="B37" s="38"/>
      <c r="Z37" s="153"/>
      <c r="AE37" s="153"/>
    </row>
    <row r="38" spans="1:31" ht="15">
      <c r="A38" s="18" t="s">
        <v>125</v>
      </c>
      <c r="C38" s="20"/>
      <c r="D38" s="121"/>
      <c r="Z38" s="153"/>
      <c r="AE38" s="153"/>
    </row>
    <row r="39" spans="2:32" s="18" customFormat="1" ht="15">
      <c r="B39" s="18" t="s">
        <v>118</v>
      </c>
      <c r="D39" s="17"/>
      <c r="E39" s="17"/>
      <c r="F39" s="17"/>
      <c r="G39" s="17"/>
      <c r="H39" s="17"/>
      <c r="I39" s="17"/>
      <c r="J39" s="17"/>
      <c r="K39" s="17"/>
      <c r="L39" s="17"/>
      <c r="M39" s="17"/>
      <c r="N39" s="17"/>
      <c r="O39" s="17"/>
      <c r="P39" s="17"/>
      <c r="Q39" s="17"/>
      <c r="R39" s="17"/>
      <c r="S39" s="17"/>
      <c r="T39" s="17"/>
      <c r="U39" s="17"/>
      <c r="V39" s="17"/>
      <c r="W39" s="17"/>
      <c r="X39" s="17"/>
      <c r="Y39" s="17"/>
      <c r="Z39" s="408"/>
      <c r="AA39" s="17"/>
      <c r="AB39" s="17"/>
      <c r="AC39" s="15"/>
      <c r="AD39" s="17"/>
      <c r="AE39" s="408"/>
      <c r="AF39" s="17"/>
    </row>
    <row r="40" spans="3:32" ht="14.25">
      <c r="C40" s="20" t="s">
        <v>119</v>
      </c>
      <c r="D40" s="139">
        <v>4215</v>
      </c>
      <c r="E40" s="121">
        <v>8435</v>
      </c>
      <c r="F40" s="121">
        <v>8780</v>
      </c>
      <c r="G40" s="121">
        <v>9350</v>
      </c>
      <c r="H40" s="121">
        <v>9645</v>
      </c>
      <c r="J40" s="121">
        <v>8423</v>
      </c>
      <c r="K40" s="121">
        <v>8424</v>
      </c>
      <c r="L40" s="121">
        <v>8432</v>
      </c>
      <c r="M40" s="121">
        <v>8435</v>
      </c>
      <c r="N40" s="121">
        <v>8440</v>
      </c>
      <c r="O40" s="121">
        <v>8650</v>
      </c>
      <c r="P40" s="121">
        <v>8775</v>
      </c>
      <c r="Q40" s="121">
        <v>8780</v>
      </c>
      <c r="R40" s="121">
        <v>8784</v>
      </c>
      <c r="S40" s="121">
        <v>9256</v>
      </c>
      <c r="T40" s="121">
        <v>9347</v>
      </c>
      <c r="U40" s="121">
        <v>9350</v>
      </c>
      <c r="V40" s="121">
        <v>9370</v>
      </c>
      <c r="W40" s="121">
        <v>9537</v>
      </c>
      <c r="X40" s="121">
        <v>9642</v>
      </c>
      <c r="Y40" s="121">
        <v>9645</v>
      </c>
      <c r="Z40" s="480"/>
      <c r="AA40" s="75"/>
      <c r="AB40" s="75"/>
      <c r="AD40" s="75">
        <v>9350</v>
      </c>
      <c r="AE40" s="153">
        <v>9645</v>
      </c>
      <c r="AF40" s="75">
        <f>IF(AND(AE40=0,AD40=0),0,IF(OR(AND(AE40&gt;0,AD40&lt;=0),AND(AE40&lt;0,AD40&gt;=0)),"nm",IF(AND(AE40&lt;0,AD40&lt;0),IF(-(AE40/AD40-1)*100&lt;-100,"(&gt;100)",-(AE40/AD40-1)*100),IF((AE40/AD40-1)*100&gt;100,"&gt;100",(AE40/AD40-1)*100))))</f>
        <v>3.155080213903738</v>
      </c>
    </row>
    <row r="41" spans="3:32" ht="14.25">
      <c r="C41" s="20" t="s">
        <v>120</v>
      </c>
      <c r="D41" s="139">
        <v>20180</v>
      </c>
      <c r="E41" s="121">
        <v>20928</v>
      </c>
      <c r="F41" s="121">
        <v>23927</v>
      </c>
      <c r="G41" s="121">
        <v>23308</v>
      </c>
      <c r="H41" s="121">
        <v>25724</v>
      </c>
      <c r="J41" s="121">
        <v>20429</v>
      </c>
      <c r="K41" s="121">
        <v>20557</v>
      </c>
      <c r="L41" s="121">
        <v>20761</v>
      </c>
      <c r="M41" s="121">
        <v>20928</v>
      </c>
      <c r="N41" s="121">
        <v>21194</v>
      </c>
      <c r="O41" s="121">
        <v>20547</v>
      </c>
      <c r="P41" s="121">
        <v>20851</v>
      </c>
      <c r="Q41" s="121">
        <v>23927</v>
      </c>
      <c r="R41" s="121">
        <v>23103</v>
      </c>
      <c r="S41" s="121">
        <v>22596</v>
      </c>
      <c r="T41" s="121">
        <v>22670</v>
      </c>
      <c r="U41" s="121">
        <v>23308</v>
      </c>
      <c r="V41" s="121">
        <v>23625</v>
      </c>
      <c r="W41" s="121">
        <v>24391</v>
      </c>
      <c r="X41" s="121">
        <v>24581</v>
      </c>
      <c r="Y41" s="121">
        <v>25724</v>
      </c>
      <c r="Z41" s="480"/>
      <c r="AA41" s="75"/>
      <c r="AB41" s="75"/>
      <c r="AD41" s="75">
        <v>23308</v>
      </c>
      <c r="AE41" s="153">
        <v>25724</v>
      </c>
      <c r="AF41" s="75">
        <f>IF(AND(AE41=0,AD41=0),0,IF(OR(AND(AE41&gt;0,AD41&lt;=0),AND(AE41&lt;0,AD41&gt;=0)),"nm",IF(AND(AE41&lt;0,AD41&lt;0),IF(-(AE41/AD41-1)*100&lt;-100,"(&gt;100)",-(AE41/AD41-1)*100),IF((AE41/AD41-1)*100&gt;100,"&gt;100",(AE41/AD41-1)*100))))</f>
        <v>10.36553972884846</v>
      </c>
    </row>
    <row r="42" spans="3:32" ht="14.25">
      <c r="C42" s="20" t="s">
        <v>326</v>
      </c>
      <c r="D42" s="139">
        <v>-6022</v>
      </c>
      <c r="E42" s="121">
        <v>-6098</v>
      </c>
      <c r="F42" s="121">
        <v>-5064</v>
      </c>
      <c r="G42" s="121">
        <v>-5123</v>
      </c>
      <c r="H42" s="121">
        <v>-5173</v>
      </c>
      <c r="J42" s="121">
        <v>-6034</v>
      </c>
      <c r="K42" s="121">
        <v>-6068</v>
      </c>
      <c r="L42" s="121">
        <v>-6053</v>
      </c>
      <c r="M42" s="121">
        <v>-6098</v>
      </c>
      <c r="N42" s="121">
        <v>-6084</v>
      </c>
      <c r="O42" s="121">
        <v>-5044</v>
      </c>
      <c r="P42" s="121">
        <v>-5073</v>
      </c>
      <c r="Q42" s="121">
        <v>-5064</v>
      </c>
      <c r="R42" s="121">
        <v>-5051</v>
      </c>
      <c r="S42" s="121">
        <v>-5025</v>
      </c>
      <c r="T42" s="121">
        <v>-5029</v>
      </c>
      <c r="U42" s="121">
        <v>-5123</v>
      </c>
      <c r="V42" s="121">
        <v>-5125</v>
      </c>
      <c r="W42" s="121">
        <v>-5112</v>
      </c>
      <c r="X42" s="121">
        <v>-5097</v>
      </c>
      <c r="Y42" s="121">
        <v>-5173</v>
      </c>
      <c r="Z42" s="480"/>
      <c r="AB42" s="75"/>
      <c r="AD42" s="75">
        <v>-5123</v>
      </c>
      <c r="AE42" s="153">
        <v>-5173</v>
      </c>
      <c r="AF42" s="75">
        <f>IF(AND(AE42=0,AD42=0),0,IF(OR(AND(AE42&gt;0,AD42&lt;=0),AND(AE42&lt;0,AD42&gt;=0)),"nm",IF(AND(AE42&lt;0,AD42&lt;0),IF(-(AE42/AD42-1)*100&lt;-100,"(&gt;100)",-(AE42/AD42-1)*100),IF((AE42/AD42-1)*100&gt;100,"&gt;100",(AE42/AD42-1)*100))))</f>
        <v>-0.9759906304899424</v>
      </c>
    </row>
    <row r="43" spans="2:31" ht="15">
      <c r="B43" s="18" t="s">
        <v>121</v>
      </c>
      <c r="C43" s="20"/>
      <c r="D43" s="139"/>
      <c r="Z43" s="480"/>
      <c r="AD43" s="75"/>
      <c r="AE43" s="153"/>
    </row>
    <row r="44" spans="2:32" ht="14.25">
      <c r="B44" s="102"/>
      <c r="C44" s="20" t="s">
        <v>122</v>
      </c>
      <c r="D44" s="139">
        <v>656</v>
      </c>
      <c r="E44" s="121">
        <v>434</v>
      </c>
      <c r="F44" s="121">
        <v>696</v>
      </c>
      <c r="G44" s="121">
        <v>1151</v>
      </c>
      <c r="H44" s="121">
        <v>1283</v>
      </c>
      <c r="J44" s="121">
        <v>734</v>
      </c>
      <c r="K44" s="121">
        <v>580</v>
      </c>
      <c r="L44" s="121">
        <v>623</v>
      </c>
      <c r="M44" s="121">
        <v>434</v>
      </c>
      <c r="N44" s="121">
        <v>662</v>
      </c>
      <c r="O44" s="121">
        <v>757</v>
      </c>
      <c r="P44" s="121">
        <v>482</v>
      </c>
      <c r="Q44" s="121">
        <v>696</v>
      </c>
      <c r="R44" s="121">
        <v>667</v>
      </c>
      <c r="S44" s="121">
        <v>820</v>
      </c>
      <c r="T44" s="121">
        <v>1001</v>
      </c>
      <c r="U44" s="121">
        <v>1151</v>
      </c>
      <c r="V44" s="121">
        <v>1237</v>
      </c>
      <c r="W44" s="121">
        <v>1315</v>
      </c>
      <c r="X44" s="121">
        <v>1280</v>
      </c>
      <c r="Y44" s="121">
        <v>1283</v>
      </c>
      <c r="Z44" s="480"/>
      <c r="AA44" s="75"/>
      <c r="AB44" s="75"/>
      <c r="AD44" s="75">
        <v>1151</v>
      </c>
      <c r="AE44" s="153">
        <v>1283</v>
      </c>
      <c r="AF44" s="75">
        <f>IF(AND(AE44=0,AD44=0),0,IF(OR(AND(AE44&gt;0,AD44&lt;=0),AND(AE44&lt;0,AD44&gt;=0)),"nm",IF(AND(AE44&lt;0,AD44&lt;0),IF(-(AE44/AD44-1)*100&lt;-100,"(&gt;100)",-(AE44/AD44-1)*100),IF((AE44/AD44-1)*100&gt;100,"&gt;100",(AE44/AD44-1)*100))))</f>
        <v>11.468288444830588</v>
      </c>
    </row>
    <row r="45" spans="2:32" ht="14.25">
      <c r="B45" s="102"/>
      <c r="C45" s="20" t="s">
        <v>123</v>
      </c>
      <c r="D45" s="139">
        <v>6571</v>
      </c>
      <c r="E45" s="121">
        <v>5970</v>
      </c>
      <c r="F45" s="121">
        <v>5281</v>
      </c>
      <c r="G45" s="121">
        <v>5305</v>
      </c>
      <c r="H45" s="121">
        <v>5505</v>
      </c>
      <c r="J45" s="121">
        <v>6901</v>
      </c>
      <c r="K45" s="121">
        <v>6140</v>
      </c>
      <c r="L45" s="121">
        <v>6025</v>
      </c>
      <c r="M45" s="121">
        <v>5970</v>
      </c>
      <c r="N45" s="121">
        <v>5955</v>
      </c>
      <c r="O45" s="121">
        <v>5714</v>
      </c>
      <c r="P45" s="121">
        <v>5415</v>
      </c>
      <c r="Q45" s="121">
        <v>5281</v>
      </c>
      <c r="R45" s="121">
        <v>5174</v>
      </c>
      <c r="S45" s="121">
        <v>5058</v>
      </c>
      <c r="T45" s="121">
        <v>5309</v>
      </c>
      <c r="U45" s="121">
        <v>5305</v>
      </c>
      <c r="V45" s="121">
        <v>7071</v>
      </c>
      <c r="W45" s="121">
        <v>4616</v>
      </c>
      <c r="X45" s="121">
        <v>5507</v>
      </c>
      <c r="Y45" s="121">
        <v>5505</v>
      </c>
      <c r="Z45" s="480"/>
      <c r="AA45" s="75"/>
      <c r="AB45" s="75"/>
      <c r="AD45" s="75">
        <v>5305</v>
      </c>
      <c r="AE45" s="153">
        <v>5505</v>
      </c>
      <c r="AF45" s="75">
        <f>IF(AND(AE45=0,AD45=0),0,IF(OR(AND(AE45&gt;0,AD45&lt;=0),AND(AE45&lt;0,AD45&gt;=0)),"nm",IF(AND(AE45&lt;0,AD45&lt;0),IF(-(AE45/AD45-1)*100&lt;-100,"(&gt;100)",-(AE45/AD45-1)*100),IF((AE45/AD45-1)*100&gt;100,"&gt;100",(AE45/AD45-1)*100))))</f>
        <v>3.7700282752120673</v>
      </c>
    </row>
    <row r="46" spans="3:32" ht="14.25">
      <c r="C46" s="20" t="s">
        <v>124</v>
      </c>
      <c r="D46" s="139">
        <v>27</v>
      </c>
      <c r="E46" s="121">
        <v>87</v>
      </c>
      <c r="F46" s="121">
        <v>149</v>
      </c>
      <c r="G46" s="121">
        <v>29</v>
      </c>
      <c r="H46" s="121">
        <v>95</v>
      </c>
      <c r="J46" s="121">
        <v>16</v>
      </c>
      <c r="K46" s="121">
        <v>42</v>
      </c>
      <c r="L46" s="121">
        <v>65</v>
      </c>
      <c r="M46" s="121">
        <v>87</v>
      </c>
      <c r="N46" s="121">
        <v>102</v>
      </c>
      <c r="O46" s="121">
        <v>94</v>
      </c>
      <c r="P46" s="121">
        <v>171</v>
      </c>
      <c r="Q46" s="121">
        <v>149</v>
      </c>
      <c r="R46" s="121">
        <v>112</v>
      </c>
      <c r="S46" s="121">
        <v>79</v>
      </c>
      <c r="T46" s="121">
        <v>28</v>
      </c>
      <c r="U46" s="121">
        <v>29</v>
      </c>
      <c r="V46" s="121">
        <v>62</v>
      </c>
      <c r="W46" s="121">
        <v>46</v>
      </c>
      <c r="X46" s="121">
        <v>79</v>
      </c>
      <c r="Y46" s="121">
        <v>95</v>
      </c>
      <c r="Z46" s="480"/>
      <c r="AA46" s="75"/>
      <c r="AB46" s="75"/>
      <c r="AD46" s="75">
        <v>29</v>
      </c>
      <c r="AE46" s="153">
        <v>95</v>
      </c>
      <c r="AF46" s="75" t="str">
        <f>IF(AND(AE46=0,AD46=0),0,IF(OR(AND(AE46&gt;0,AD46&lt;=0),AND(AE46&lt;0,AD46&gt;=0)),"nm",IF(AND(AE46&lt;0,AD46&lt;0),IF(-(AE46/AD46-1)*100&lt;-100,"(&gt;100)",-(AE46/AD46-1)*100),IF((AE46/AD46-1)*100&gt;100,"&gt;100",(AE46/AD46-1)*100))))</f>
        <v>&gt;100</v>
      </c>
    </row>
    <row r="47" spans="2:37" s="26" customFormat="1" ht="14.25">
      <c r="B47" s="36"/>
      <c r="C47" s="26" t="s">
        <v>327</v>
      </c>
      <c r="D47" s="132">
        <v>-106</v>
      </c>
      <c r="E47" s="75">
        <v>-128</v>
      </c>
      <c r="F47" s="75">
        <v>-142</v>
      </c>
      <c r="G47" s="75">
        <v>-192</v>
      </c>
      <c r="H47" s="121">
        <v>-248</v>
      </c>
      <c r="I47" s="75"/>
      <c r="J47" s="75">
        <v>-112</v>
      </c>
      <c r="K47" s="75">
        <v>-136</v>
      </c>
      <c r="L47" s="75">
        <v>-124</v>
      </c>
      <c r="M47" s="75">
        <v>-128</v>
      </c>
      <c r="N47" s="75">
        <v>-142</v>
      </c>
      <c r="O47" s="75">
        <v>-139</v>
      </c>
      <c r="P47" s="75">
        <v>-143</v>
      </c>
      <c r="Q47" s="75">
        <v>-142</v>
      </c>
      <c r="R47" s="75">
        <v>-134</v>
      </c>
      <c r="S47" s="75">
        <v>-101</v>
      </c>
      <c r="T47" s="75">
        <v>-111</v>
      </c>
      <c r="U47" s="75">
        <v>-192</v>
      </c>
      <c r="V47" s="75">
        <v>-189</v>
      </c>
      <c r="W47" s="75">
        <v>-168</v>
      </c>
      <c r="X47" s="75">
        <v>-155</v>
      </c>
      <c r="Y47" s="75">
        <v>-248</v>
      </c>
      <c r="Z47" s="480"/>
      <c r="AA47" s="75"/>
      <c r="AB47" s="75"/>
      <c r="AD47" s="75">
        <v>-192</v>
      </c>
      <c r="AE47" s="153">
        <v>-248</v>
      </c>
      <c r="AF47" s="75">
        <f>IF(AND(AE47=0,AD47=0),0,IF(OR(AND(AE47&gt;0,AD47&lt;=0),AND(AE47&lt;0,AD47&gt;=0)),"nm",IF(AND(AE47&lt;0,AD47&lt;0),IF(-(AE47/AD47-1)*100&lt;-100,"(&gt;100)",-(AE47/AD47-1)*100),IF((AE47/AD47-1)*100&gt;100,"&gt;100",(AE47/AD47-1)*100))))</f>
        <v>-29.166666666666675</v>
      </c>
      <c r="AI47" s="20"/>
      <c r="AJ47" s="20"/>
      <c r="AK47" s="20"/>
    </row>
    <row r="48" spans="2:37" s="24" customFormat="1" ht="6" customHeight="1">
      <c r="B48" s="31"/>
      <c r="C48" s="26"/>
      <c r="D48" s="133"/>
      <c r="E48" s="17"/>
      <c r="F48" s="17"/>
      <c r="G48" s="17"/>
      <c r="H48" s="17"/>
      <c r="I48" s="17"/>
      <c r="J48" s="17"/>
      <c r="K48" s="17"/>
      <c r="L48" s="17"/>
      <c r="M48" s="17"/>
      <c r="N48" s="17"/>
      <c r="O48" s="17"/>
      <c r="P48" s="17"/>
      <c r="Q48" s="17"/>
      <c r="R48" s="17"/>
      <c r="S48" s="17"/>
      <c r="T48" s="17"/>
      <c r="U48" s="17"/>
      <c r="V48" s="17"/>
      <c r="W48" s="17"/>
      <c r="X48" s="17"/>
      <c r="Y48" s="17"/>
      <c r="Z48" s="481"/>
      <c r="AA48" s="17"/>
      <c r="AB48" s="17"/>
      <c r="AD48" s="17"/>
      <c r="AE48" s="408"/>
      <c r="AF48" s="17"/>
      <c r="AI48" s="20"/>
      <c r="AJ48" s="20"/>
      <c r="AK48" s="20"/>
    </row>
    <row r="49" spans="1:37" s="18" customFormat="1" ht="15">
      <c r="A49" s="18" t="s">
        <v>225</v>
      </c>
      <c r="B49" s="106"/>
      <c r="D49" s="133">
        <v>182685</v>
      </c>
      <c r="E49" s="17">
        <v>177222</v>
      </c>
      <c r="F49" s="17">
        <v>182694</v>
      </c>
      <c r="G49" s="17">
        <v>213722</v>
      </c>
      <c r="H49" s="17">
        <v>215591</v>
      </c>
      <c r="I49" s="17"/>
      <c r="J49" s="17">
        <v>181875</v>
      </c>
      <c r="K49" s="17">
        <v>182635</v>
      </c>
      <c r="L49" s="17">
        <v>185222</v>
      </c>
      <c r="M49" s="17">
        <v>177222</v>
      </c>
      <c r="N49" s="17">
        <v>175850</v>
      </c>
      <c r="O49" s="17">
        <v>184824</v>
      </c>
      <c r="P49" s="17">
        <v>186847</v>
      </c>
      <c r="Q49" s="17">
        <v>182694</v>
      </c>
      <c r="R49" s="17">
        <v>189644</v>
      </c>
      <c r="S49" s="17">
        <v>198330</v>
      </c>
      <c r="T49" s="17">
        <v>213919</v>
      </c>
      <c r="U49" s="17">
        <v>213722</v>
      </c>
      <c r="V49" s="17">
        <v>219702</v>
      </c>
      <c r="W49" s="17">
        <v>225382</v>
      </c>
      <c r="X49" s="17">
        <v>216896</v>
      </c>
      <c r="Y49" s="17">
        <v>215591</v>
      </c>
      <c r="Z49" s="125">
        <v>240382</v>
      </c>
      <c r="AA49" s="17"/>
      <c r="AB49" s="17"/>
      <c r="AC49" s="15"/>
      <c r="AD49" s="17">
        <v>213722</v>
      </c>
      <c r="AE49" s="125">
        <v>215591</v>
      </c>
      <c r="AF49" s="17">
        <f>IF(AND(AE49=0,AD49=0),0,IF(OR(AND(AE49&gt;0,AD49&lt;=0),AND(AE49&lt;0,AD49&gt;=0)),"nm",IF(AND(AE49&lt;0,AD49&lt;0),IF(-(AE49/AD49-1)*100&lt;-100,"(&gt;100)",-(AE49/AD49-1)*100),IF((AE49/AD49-1)*100&gt;100,"&gt;100",(AE49/AD49-1)*100))))</f>
        <v>0.8745005193662836</v>
      </c>
      <c r="AI49" s="20"/>
      <c r="AJ49" s="20"/>
      <c r="AK49" s="20"/>
    </row>
    <row r="50" ht="14.25">
      <c r="H50" s="171"/>
    </row>
    <row r="53" ht="14.25">
      <c r="Z53" s="143"/>
    </row>
    <row r="56" ht="14.25">
      <c r="AE56" s="364"/>
    </row>
    <row r="57" ht="14.25">
      <c r="AE57" s="364"/>
    </row>
    <row r="58" ht="14.25">
      <c r="AE58" s="364"/>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48"/>
    <pageSetUpPr fitToPage="1"/>
  </sheetPr>
  <dimension ref="A1:AF123"/>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AK28" sqref="AK28"/>
    </sheetView>
  </sheetViews>
  <sheetFormatPr defaultColWidth="9.140625" defaultRowHeight="12.75" outlineLevelCol="1"/>
  <cols>
    <col min="2" max="2" width="14.00390625" style="0" customWidth="1"/>
    <col min="3" max="3" width="12.57421875" style="0" customWidth="1"/>
    <col min="4" max="5" width="10.28125" style="137" hidden="1" customWidth="1" outlineLevel="1"/>
    <col min="6" max="8" width="10.28125" style="154" hidden="1" customWidth="1" outlineLevel="1"/>
    <col min="9" max="9" width="1.8515625" style="137" hidden="1" customWidth="1" outlineLevel="1"/>
    <col min="10" max="12" width="10.28125" style="137" hidden="1" customWidth="1" outlineLevel="1"/>
    <col min="13" max="17" width="10.28125" style="154" hidden="1" customWidth="1" outlineLevel="1"/>
    <col min="18" max="19" width="10.28125" style="154" hidden="1" customWidth="1" outlineLevel="1" collapsed="1"/>
    <col min="20" max="21" width="10.28125" style="154" hidden="1" customWidth="1" outlineLevel="1"/>
    <col min="22" max="22" width="10.28125" style="154" customWidth="1" collapsed="1"/>
    <col min="23" max="25" width="10.28125" style="154" customWidth="1"/>
    <col min="26" max="26" width="10.28125" style="279" customWidth="1"/>
    <col min="27" max="27" width="4.57421875" style="0" customWidth="1"/>
    <col min="28" max="29" width="0.9921875" style="0" customWidth="1"/>
    <col min="30" max="31" width="10.28125" style="154" hidden="1" customWidth="1"/>
    <col min="32" max="32" width="11.7109375" style="0" bestFit="1" customWidth="1"/>
  </cols>
  <sheetData>
    <row r="1" spans="1:31" s="42" customFormat="1" ht="20.25">
      <c r="A1" s="41" t="s">
        <v>129</v>
      </c>
      <c r="D1" s="123"/>
      <c r="E1" s="123"/>
      <c r="F1" s="124"/>
      <c r="G1" s="124"/>
      <c r="H1" s="124"/>
      <c r="I1" s="124"/>
      <c r="J1" s="124"/>
      <c r="K1" s="124"/>
      <c r="L1" s="124"/>
      <c r="M1" s="124"/>
      <c r="N1" s="167"/>
      <c r="O1" s="167"/>
      <c r="P1" s="167"/>
      <c r="Q1" s="167"/>
      <c r="R1" s="167"/>
      <c r="S1" s="167"/>
      <c r="T1" s="167"/>
      <c r="U1" s="167"/>
      <c r="V1" s="167"/>
      <c r="W1" s="167"/>
      <c r="X1" s="167"/>
      <c r="Y1" s="167"/>
      <c r="Z1" s="167"/>
      <c r="AD1" s="167"/>
      <c r="AE1" s="167"/>
    </row>
    <row r="2" spans="1:32" s="44" customFormat="1" ht="15">
      <c r="A2" s="515" t="s">
        <v>80</v>
      </c>
      <c r="B2" s="515"/>
      <c r="C2" s="515"/>
      <c r="D2" s="74" t="s">
        <v>60</v>
      </c>
      <c r="E2" s="74" t="s">
        <v>231</v>
      </c>
      <c r="F2" s="74" t="s">
        <v>347</v>
      </c>
      <c r="G2" s="74" t="s">
        <v>366</v>
      </c>
      <c r="H2" s="74" t="s">
        <v>392</v>
      </c>
      <c r="I2" s="74"/>
      <c r="J2" s="74" t="s">
        <v>2</v>
      </c>
      <c r="K2" s="74" t="s">
        <v>3</v>
      </c>
      <c r="L2" s="74" t="s">
        <v>4</v>
      </c>
      <c r="M2" s="74" t="s">
        <v>230</v>
      </c>
      <c r="N2" s="168" t="s">
        <v>331</v>
      </c>
      <c r="O2" s="168" t="s">
        <v>335</v>
      </c>
      <c r="P2" s="168" t="s">
        <v>342</v>
      </c>
      <c r="Q2" s="168" t="s">
        <v>346</v>
      </c>
      <c r="R2" s="168" t="s">
        <v>350</v>
      </c>
      <c r="S2" s="168" t="s">
        <v>355</v>
      </c>
      <c r="T2" s="168" t="s">
        <v>360</v>
      </c>
      <c r="U2" s="168" t="s">
        <v>365</v>
      </c>
      <c r="V2" s="168" t="s">
        <v>367</v>
      </c>
      <c r="W2" s="168" t="s">
        <v>380</v>
      </c>
      <c r="X2" s="168" t="s">
        <v>387</v>
      </c>
      <c r="Y2" s="168" t="s">
        <v>394</v>
      </c>
      <c r="Z2" s="168" t="s">
        <v>408</v>
      </c>
      <c r="AD2" s="290" t="s">
        <v>366</v>
      </c>
      <c r="AE2" s="290" t="s">
        <v>392</v>
      </c>
      <c r="AF2" s="290"/>
    </row>
    <row r="3" spans="26:31" ht="12.75">
      <c r="Z3" s="277"/>
      <c r="AE3" s="138"/>
    </row>
    <row r="4" spans="1:31" s="67" customFormat="1" ht="15">
      <c r="A4" s="66" t="s">
        <v>131</v>
      </c>
      <c r="D4" s="103"/>
      <c r="E4" s="103"/>
      <c r="F4" s="114"/>
      <c r="G4" s="114"/>
      <c r="H4" s="114"/>
      <c r="I4" s="103"/>
      <c r="J4" s="103"/>
      <c r="K4" s="103"/>
      <c r="L4" s="103"/>
      <c r="M4" s="114"/>
      <c r="N4" s="114"/>
      <c r="O4" s="114"/>
      <c r="P4" s="114"/>
      <c r="Q4" s="114"/>
      <c r="R4" s="114"/>
      <c r="S4" s="114"/>
      <c r="T4" s="114"/>
      <c r="U4" s="114"/>
      <c r="V4" s="114"/>
      <c r="W4" s="114"/>
      <c r="X4" s="114"/>
      <c r="Y4" s="114"/>
      <c r="Z4" s="396"/>
      <c r="AA4" s="80"/>
      <c r="AB4" s="80"/>
      <c r="AC4" s="80"/>
      <c r="AD4" s="388"/>
      <c r="AE4" s="397"/>
    </row>
    <row r="5" spans="1:32" s="67" customFormat="1" ht="14.25">
      <c r="A5" s="49" t="s">
        <v>82</v>
      </c>
      <c r="D5" s="129">
        <f>+'15.Consumer'!D6+'16.Institutional'!D6+'17.Treasury'!D6+'18.Others'!D6</f>
        <v>6031</v>
      </c>
      <c r="E5" s="129">
        <f>+'15.Consumer'!E6+'16.Institutional'!E6+'17.Treasury'!E6+'18.Others'!E6</f>
        <v>6603</v>
      </c>
      <c r="F5" s="156">
        <f>+'15.Consumer'!F6+'16.Institutional'!F6+'17.Treasury'!F6+'18.Others'!F6</f>
        <v>7066</v>
      </c>
      <c r="G5" s="156"/>
      <c r="H5" s="156"/>
      <c r="I5" s="129"/>
      <c r="J5" s="129">
        <f>+'15.Consumer'!J6+'16.Institutional'!J6+'17.Treasury'!J6+'18.Others'!J6</f>
        <v>1662</v>
      </c>
      <c r="K5" s="129">
        <f>+'15.Consumer'!K6+'16.Institutional'!K6+'17.Treasury'!K6+'18.Others'!K6</f>
        <v>1792</v>
      </c>
      <c r="L5" s="129">
        <f>+'15.Consumer'!L6+'16.Institutional'!L6+'17.Treasury'!L6+'18.Others'!L6</f>
        <v>1577</v>
      </c>
      <c r="M5" s="156">
        <f>+'15.Consumer'!M6+'16.Institutional'!M6+'17.Treasury'!M6+'18.Others'!M6</f>
        <v>1572</v>
      </c>
      <c r="N5" s="156">
        <f>+'15.Consumer'!N6+'16.Institutional'!N6+'17.Treasury'!N6+'18.Others'!N6</f>
        <v>1713</v>
      </c>
      <c r="O5" s="156">
        <f>+'15.Consumer'!O6+'16.Institutional'!O6+'17.Treasury'!O6+'18.Others'!O6</f>
        <v>1815</v>
      </c>
      <c r="P5" s="156">
        <f>+'15.Consumer'!P6+'16.Institutional'!P6+'17.Treasury'!P6+'18.Others'!P6</f>
        <v>1809</v>
      </c>
      <c r="Q5" s="156">
        <f>+'15.Consumer'!Q6+'16.Institutional'!Q6+'17.Treasury'!Q6+'18.Others'!Q6</f>
        <v>1729</v>
      </c>
      <c r="R5" s="156">
        <f>+'15.Consumer'!R6+'16.Institutional'!R6+'17.Treasury'!R6+'18.Others'!R6</f>
        <v>1909</v>
      </c>
      <c r="S5" s="156">
        <f>+'15.Consumer'!S6+'16.Institutional'!S6+'17.Treasury'!S6+'18.Others'!S6</f>
        <v>1838</v>
      </c>
      <c r="T5" s="156">
        <f>+'15.Consumer'!T6+'16.Institutional'!T6+'17.Treasury'!T6+'18.Others'!T6</f>
        <v>1968</v>
      </c>
      <c r="U5" s="156">
        <f>+'15.Consumer'!U6+'16.Institutional'!U6+'17.Treasury'!U6+'18.Others'!U6</f>
        <v>1916</v>
      </c>
      <c r="V5" s="507">
        <f>+'15.Consumer'!V6+'16.Institutional'!V6+'17.Treasury'!V6+'18.Others'!V6</f>
        <v>2156</v>
      </c>
      <c r="W5" s="507">
        <f>+'15.Consumer'!W6+'16.Institutional'!W6+'17.Treasury'!W6+'18.Others'!W6</f>
        <v>1945</v>
      </c>
      <c r="X5" s="507">
        <f>+'15.Consumer'!X6+'16.Institutional'!X6+'17.Treasury'!X6+'18.Others'!X6</f>
        <v>2004</v>
      </c>
      <c r="Y5" s="507">
        <f>+'15.Consumer'!Y6+'16.Institutional'!Y6+'17.Treasury'!Y6+'18.Others'!Y6</f>
        <v>1959</v>
      </c>
      <c r="Z5" s="412">
        <f>+'15.Consumer'!Z6+'16.Institutional'!Z6+'17.Treasury'!Z6+'18.Others'!Z6</f>
        <v>2317</v>
      </c>
      <c r="AA5" s="405"/>
      <c r="AB5" s="405"/>
      <c r="AC5" s="405"/>
      <c r="AD5" s="404">
        <v>5715</v>
      </c>
      <c r="AE5" s="413">
        <f>+'15.Consumer'!AE6+'16.Institutional'!AE6+'17.Treasury'!AE6+'18.Others'!AE6</f>
        <v>8064</v>
      </c>
      <c r="AF5" s="405"/>
    </row>
    <row r="6" spans="2:32" s="67" customFormat="1" ht="14.25">
      <c r="B6" s="67" t="s">
        <v>382</v>
      </c>
      <c r="D6" s="72">
        <f>+'15.Consumer'!D6/D5*100</f>
        <v>38.136295805007464</v>
      </c>
      <c r="E6" s="72">
        <f>+'15.Consumer'!E6/E5*100</f>
        <v>30.410419506285024</v>
      </c>
      <c r="F6" s="155">
        <f>+'15.Consumer'!F6/F5*100</f>
        <v>29.2244551372771</v>
      </c>
      <c r="G6" s="155">
        <v>28.88219106277028</v>
      </c>
      <c r="H6" s="155">
        <v>28.521825396825395</v>
      </c>
      <c r="I6" s="72"/>
      <c r="J6" s="72">
        <f>+'15.Consumer'!J6/J5*100</f>
        <v>28.58002406738869</v>
      </c>
      <c r="K6" s="72">
        <f>+'15.Consumer'!K6/K5*100</f>
        <v>27.232142857142854</v>
      </c>
      <c r="L6" s="72">
        <f>+'15.Consumer'!L6/L5*100</f>
        <v>33.03741280913126</v>
      </c>
      <c r="M6" s="155">
        <f>+'15.Consumer'!M6/M5*100</f>
        <v>33.396946564885496</v>
      </c>
      <c r="N6" s="155">
        <f>+'15.Consumer'!N6/N5*100</f>
        <v>30.122591943957964</v>
      </c>
      <c r="O6" s="155">
        <f>+'15.Consumer'!O6/O5*100</f>
        <v>28.705234159779614</v>
      </c>
      <c r="P6" s="155">
        <f>+'15.Consumer'!P6/P5*100</f>
        <v>27.750138197899393</v>
      </c>
      <c r="Q6" s="155">
        <f>+'15.Consumer'!Q6/Q5*100</f>
        <v>30.42220936957779</v>
      </c>
      <c r="R6" s="155">
        <f>+'15.Consumer'!R6/R5*100</f>
        <v>26.87270822420115</v>
      </c>
      <c r="S6" s="155">
        <f>+'15.Consumer'!S6/S5*100</f>
        <v>30.576713819368877</v>
      </c>
      <c r="T6" s="155">
        <f>+'15.Consumer'!T6/T5*100</f>
        <v>27.743902439024392</v>
      </c>
      <c r="U6" s="155">
        <f>+'15.Consumer'!U6/U5*100</f>
        <v>30.427974947807932</v>
      </c>
      <c r="V6" s="155">
        <f>+'15.Consumer'!V6/V5*100</f>
        <v>27.968460111317256</v>
      </c>
      <c r="W6" s="155">
        <f>+'15.Consumer'!W6/W5*100</f>
        <v>29.10025706940874</v>
      </c>
      <c r="X6" s="155">
        <f>+'15.Consumer'!X6/X5*100</f>
        <v>28.393213572854293</v>
      </c>
      <c r="Y6" s="155">
        <f>+'15.Consumer'!Y6/Y5*100</f>
        <v>28.688106176620725</v>
      </c>
      <c r="Z6" s="385">
        <f>+'15.Consumer'!Z6/Z5*100</f>
        <v>26.84505826499784</v>
      </c>
      <c r="AA6" s="80"/>
      <c r="AB6" s="80"/>
      <c r="AC6" s="80"/>
      <c r="AD6" s="260">
        <v>28.88219106277028</v>
      </c>
      <c r="AE6" s="384">
        <f>+'15.Consumer'!AE6/AE5*100</f>
        <v>28.521825396825395</v>
      </c>
      <c r="AF6" s="312"/>
    </row>
    <row r="7" spans="2:32" s="67" customFormat="1" ht="14.25">
      <c r="B7" s="67" t="s">
        <v>130</v>
      </c>
      <c r="D7" s="72">
        <f>+'16.Institutional'!D6/D5*100</f>
        <v>43.95622616481512</v>
      </c>
      <c r="E7" s="72">
        <f>+'16.Institutional'!E6/E5*100</f>
        <v>48.03877025594427</v>
      </c>
      <c r="F7" s="155">
        <f>+'16.Institutional'!F6/F5*100</f>
        <v>49.716954429663176</v>
      </c>
      <c r="G7" s="155">
        <v>52.54881404796225</v>
      </c>
      <c r="H7" s="155">
        <v>53.47222222222222</v>
      </c>
      <c r="I7" s="72"/>
      <c r="J7" s="72">
        <f>+'16.Institutional'!J6/J5*100</f>
        <v>45.84837545126354</v>
      </c>
      <c r="K7" s="72">
        <f>+'16.Institutional'!K6/K5*100</f>
        <v>44.53125</v>
      </c>
      <c r="L7" s="72">
        <f>+'16.Institutional'!L6/L5*100</f>
        <v>51.17311350665821</v>
      </c>
      <c r="M7" s="155">
        <f>+'16.Institutional'!M6/M5*100</f>
        <v>51.14503816793893</v>
      </c>
      <c r="N7" s="155">
        <f>+'16.Institutional'!N6/N5*100</f>
        <v>46.93520140105078</v>
      </c>
      <c r="O7" s="155">
        <f>+'16.Institutional'!O6/O5*100</f>
        <v>50.688705234159784</v>
      </c>
      <c r="P7" s="155">
        <f>+'16.Institutional'!P6/P5*100</f>
        <v>49.97236042012162</v>
      </c>
      <c r="Q7" s="155">
        <f>+'16.Institutional'!Q6/Q5*100</f>
        <v>51.18565644881434</v>
      </c>
      <c r="R7" s="155">
        <f>+'16.Institutional'!R6/R5*100</f>
        <v>51.70246202200105</v>
      </c>
      <c r="S7" s="155">
        <f>+'16.Institutional'!S6/S5*100</f>
        <v>53.69967355821545</v>
      </c>
      <c r="T7" s="155">
        <f>+'16.Institutional'!T6/T5*100</f>
        <v>53.760162601626014</v>
      </c>
      <c r="U7" s="155">
        <f>+'16.Institutional'!U6/U5*100</f>
        <v>51.04384133611691</v>
      </c>
      <c r="V7" s="155">
        <f>+'16.Institutional'!V6/V5*100</f>
        <v>49.07235621521336</v>
      </c>
      <c r="W7" s="155">
        <f>+'16.Institutional'!W6/W5*100</f>
        <v>55.26992287917738</v>
      </c>
      <c r="X7" s="155">
        <f>+'16.Institutional'!X6/X5*100</f>
        <v>53.64271457085829</v>
      </c>
      <c r="Y7" s="155">
        <f>+'16.Institutional'!Y6/Y5*100</f>
        <v>48.18785094435937</v>
      </c>
      <c r="Z7" s="385">
        <f>+'16.Institutional'!Z6/Z5*100</f>
        <v>51.87742770824342</v>
      </c>
      <c r="AA7" s="80"/>
      <c r="AB7" s="80"/>
      <c r="AC7" s="80"/>
      <c r="AD7" s="260">
        <v>52.54881404796225</v>
      </c>
      <c r="AE7" s="384">
        <f>+'16.Institutional'!AE6/AE5*100</f>
        <v>53.47222222222222</v>
      </c>
      <c r="AF7" s="312"/>
    </row>
    <row r="8" spans="2:32" s="67" customFormat="1" ht="14.25">
      <c r="B8" s="67" t="s">
        <v>333</v>
      </c>
      <c r="D8" s="72">
        <f>+'17.Treasury'!D6/D5*100</f>
        <v>14.607859393135467</v>
      </c>
      <c r="E8" s="72">
        <f>+'17.Treasury'!E6/E5*100</f>
        <v>18.915644404058764</v>
      </c>
      <c r="F8" s="155">
        <f>+'17.Treasury'!F6/F5*100</f>
        <v>17.449759411265216</v>
      </c>
      <c r="G8" s="155">
        <v>15.096317651683922</v>
      </c>
      <c r="H8" s="155">
        <v>13.876488095238097</v>
      </c>
      <c r="I8" s="72"/>
      <c r="J8" s="72">
        <f>+'17.Treasury'!J6/J5*100</f>
        <v>29.24187725631769</v>
      </c>
      <c r="K8" s="72">
        <f>+'17.Treasury'!K6/K5*100</f>
        <v>16.40625</v>
      </c>
      <c r="L8" s="72">
        <f>+'17.Treasury'!L6/L5*100</f>
        <v>16.67723525681674</v>
      </c>
      <c r="M8" s="155">
        <f>+'17.Treasury'!M6/M5*100</f>
        <v>13.104325699745548</v>
      </c>
      <c r="N8" s="155">
        <f>+'17.Treasury'!N6/N5*100</f>
        <v>21.891418563922944</v>
      </c>
      <c r="O8" s="155">
        <f>+'17.Treasury'!O6/O5*100</f>
        <v>19.61432506887052</v>
      </c>
      <c r="P8" s="155">
        <f>+'17.Treasury'!P6/P5*100</f>
        <v>18.51851851851852</v>
      </c>
      <c r="Q8" s="155">
        <f>+'17.Treasury'!Q6/Q5*100</f>
        <v>9.658762290341237</v>
      </c>
      <c r="R8" s="155">
        <f>+'17.Treasury'!R6/R5*100</f>
        <v>15.924567836563646</v>
      </c>
      <c r="S8" s="155">
        <f>+'17.Treasury'!S6/S5*100</f>
        <v>12.67682263329706</v>
      </c>
      <c r="T8" s="155">
        <f>+'17.Treasury'!T6/T5*100</f>
        <v>15.548780487804878</v>
      </c>
      <c r="U8" s="155">
        <f>+'17.Treasury'!U6/U5*100</f>
        <v>16.12734864300626</v>
      </c>
      <c r="V8" s="155">
        <f>+'17.Treasury'!V6/V5*100</f>
        <v>18.83116883116883</v>
      </c>
      <c r="W8" s="155">
        <f>+'17.Treasury'!W6/W5*100</f>
        <v>10.179948586118252</v>
      </c>
      <c r="X8" s="155">
        <f>+'17.Treasury'!X6/X5*100</f>
        <v>11.177644710578843</v>
      </c>
      <c r="Y8" s="155">
        <f>+'17.Treasury'!Y6/Y5*100</f>
        <v>14.854517611026033</v>
      </c>
      <c r="Z8" s="385">
        <f>+'17.Treasury'!Z6/Z5*100</f>
        <v>13.94044022442814</v>
      </c>
      <c r="AA8" s="80"/>
      <c r="AB8" s="80"/>
      <c r="AC8" s="80"/>
      <c r="AD8" s="260">
        <v>15.096317651683922</v>
      </c>
      <c r="AE8" s="384">
        <f>+'17.Treasury'!AE6/AE5*100</f>
        <v>13.876488095238097</v>
      </c>
      <c r="AF8" s="312"/>
    </row>
    <row r="9" spans="2:32" s="67" customFormat="1" ht="14.25">
      <c r="B9" s="67" t="s">
        <v>35</v>
      </c>
      <c r="D9" s="72">
        <f>+'18.Others'!D6/D5*100</f>
        <v>3.2996186370419496</v>
      </c>
      <c r="E9" s="72">
        <f>+'18.Others'!E6/E5*100</f>
        <v>2.635165833711949</v>
      </c>
      <c r="F9" s="155">
        <f>+'18.Others'!F6/F5*100</f>
        <v>3.608831021794509</v>
      </c>
      <c r="G9" s="155">
        <v>3.472677237583541</v>
      </c>
      <c r="H9" s="155">
        <v>4.129464285714286</v>
      </c>
      <c r="I9" s="72"/>
      <c r="J9" s="72">
        <f>+'18.Others'!J6/J5*100</f>
        <v>-3.6702767749699152</v>
      </c>
      <c r="K9" s="72">
        <f>+'18.Others'!K6/K5*100</f>
        <v>11.830357142857142</v>
      </c>
      <c r="L9" s="72">
        <f>+'18.Others'!L6/L5*100</f>
        <v>-0.8877615726062142</v>
      </c>
      <c r="M9" s="155">
        <f>+'18.Others'!M6/M5*100</f>
        <v>2.3536895674300253</v>
      </c>
      <c r="N9" s="155">
        <f>+'18.Others'!N6/N5*100</f>
        <v>1.0507880910683012</v>
      </c>
      <c r="O9" s="155">
        <f>+'18.Others'!O6/O5*100</f>
        <v>0.9917355371900827</v>
      </c>
      <c r="P9" s="155">
        <f>+'18.Others'!P6/P5*100</f>
        <v>3.7589828634604756</v>
      </c>
      <c r="Q9" s="155">
        <f>+'18.Others'!Q6/Q5*100</f>
        <v>8.733371891266628</v>
      </c>
      <c r="R9" s="155">
        <f>+'18.Others'!R6/R5*100</f>
        <v>5.500261917234154</v>
      </c>
      <c r="S9" s="155">
        <f>+'18.Others'!S6/S5*100</f>
        <v>3.0467899891186074</v>
      </c>
      <c r="T9" s="155">
        <f>+'18.Others'!T6/T5*100</f>
        <v>2.9471544715447155</v>
      </c>
      <c r="U9" s="155">
        <f>+'18.Others'!U6/U5*100</f>
        <v>2.4008350730688934</v>
      </c>
      <c r="V9" s="155">
        <f>+'18.Others'!V6/V5*100</f>
        <v>4.128014842300557</v>
      </c>
      <c r="W9" s="155">
        <f>+'18.Others'!W6/W5*100</f>
        <v>5.4498714652956295</v>
      </c>
      <c r="X9" s="155">
        <f>+'18.Others'!X6/X5*100</f>
        <v>6.786427145708583</v>
      </c>
      <c r="Y9" s="155">
        <f>+'18.Others'!Y6/Y5*100</f>
        <v>8.269525267993874</v>
      </c>
      <c r="Z9" s="385">
        <f>+'18.Others'!Z6/Z5*100</f>
        <v>7.3370738023306</v>
      </c>
      <c r="AA9" s="80"/>
      <c r="AB9" s="80"/>
      <c r="AC9" s="80"/>
      <c r="AD9" s="260">
        <v>3.472677237583541</v>
      </c>
      <c r="AE9" s="384">
        <f>+'18.Others'!AE6/AE5*100</f>
        <v>4.129464285714286</v>
      </c>
      <c r="AF9" s="312"/>
    </row>
    <row r="10" spans="1:32" s="67" customFormat="1" ht="14.25">
      <c r="A10" s="58" t="s">
        <v>81</v>
      </c>
      <c r="D10" s="129">
        <f>+'19.S''pore'!D6+'20.HK'!D6+'21.GreaterChina'!D6+'22.SSEA'!D6+'23.ROW'!D6</f>
        <v>6031</v>
      </c>
      <c r="E10" s="129">
        <f>+'19.S''pore'!E6+'20.HK'!E6+'21.GreaterChina'!E6+'22.SSEA'!E6+'23.ROW'!E6</f>
        <v>6603</v>
      </c>
      <c r="F10" s="156">
        <f>+'19.S''pore'!F6+'20.HK'!F6+'21.GreaterChina'!F6+'22.SSEA'!F6+'23.ROW'!F6</f>
        <v>7066</v>
      </c>
      <c r="G10" s="156">
        <v>7631</v>
      </c>
      <c r="H10" s="156"/>
      <c r="I10" s="129"/>
      <c r="J10" s="129">
        <f>+'19.S''pore'!J6+'20.HK'!J6+'21.GreaterChina'!J6+'22.SSEA'!J6+'23.ROW'!J6</f>
        <v>1662</v>
      </c>
      <c r="K10" s="129">
        <f>+'19.S''pore'!K6+'20.HK'!K6+'21.GreaterChina'!K6+'22.SSEA'!K6+'23.ROW'!K6</f>
        <v>1792</v>
      </c>
      <c r="L10" s="129">
        <f>+'19.S''pore'!L6+'20.HK'!L6+'21.GreaterChina'!L6+'22.SSEA'!L6+'23.ROW'!L6</f>
        <v>1577</v>
      </c>
      <c r="M10" s="156">
        <f>+'19.S''pore'!M6+'20.HK'!M6+'21.GreaterChina'!M6+'22.SSEA'!M6+'23.ROW'!M6</f>
        <v>1572</v>
      </c>
      <c r="N10" s="156">
        <f>+'19.S''pore'!N6+'20.HK'!N6+'21.GreaterChina'!N6+'22.SSEA'!N6+'23.ROW'!N6</f>
        <v>1713</v>
      </c>
      <c r="O10" s="156">
        <f>+'19.S''pore'!O6+'20.HK'!O6+'21.GreaterChina'!O6+'22.SSEA'!O6+'23.ROW'!O6</f>
        <v>1815</v>
      </c>
      <c r="P10" s="156">
        <f>+'19.S''pore'!P6+'20.HK'!P6+'21.GreaterChina'!P6+'22.SSEA'!P6+'23.ROW'!P6</f>
        <v>1809</v>
      </c>
      <c r="Q10" s="156">
        <f>+'19.S''pore'!Q6+'20.HK'!Q6+'21.GreaterChina'!Q6+'22.SSEA'!Q6+'23.ROW'!Q6</f>
        <v>1729</v>
      </c>
      <c r="R10" s="156">
        <f>+'19.S''pore'!R6+'20.HK'!R6+'21.GreaterChina'!R6+'22.SSEA'!R6+'23.ROW'!R6</f>
        <v>1909</v>
      </c>
      <c r="S10" s="156">
        <f>+'19.S''pore'!S6+'20.HK'!S6+'21.GreaterChina'!S6+'22.SSEA'!S6+'23.ROW'!S6</f>
        <v>1838</v>
      </c>
      <c r="T10" s="156">
        <f>+'19.S''pore'!T6+'20.HK'!T6+'21.GreaterChina'!T6+'22.SSEA'!T6+'23.ROW'!T6</f>
        <v>1968</v>
      </c>
      <c r="U10" s="156">
        <f>+'19.S''pore'!U6+'20.HK'!U6+'21.GreaterChina'!U6+'22.SSEA'!U6+'23.ROW'!U6</f>
        <v>1916</v>
      </c>
      <c r="V10" s="156">
        <f>+'19.S''pore'!V6+'20.HK'!V6+'21.GreaterChina'!V6+'22.SSEA'!V6+'23.ROW'!V6</f>
        <v>2156</v>
      </c>
      <c r="W10" s="156">
        <f>+'19.S''pore'!W6+'20.HK'!W6+'21.GreaterChina'!W6+'22.SSEA'!W6+'23.ROW'!W6</f>
        <v>1945</v>
      </c>
      <c r="X10" s="156">
        <f>+'19.S''pore'!X6+'20.HK'!X6+'21.GreaterChina'!X6+'22.SSEA'!X6+'23.ROW'!X6</f>
        <v>2004</v>
      </c>
      <c r="Y10" s="156">
        <f>+'19.S''pore'!Y6+'20.HK'!Y6+'21.GreaterChina'!Y6+'22.SSEA'!Y6+'23.ROW'!Y6</f>
        <v>1959</v>
      </c>
      <c r="Z10" s="413">
        <f>+'19.S''pore'!Z6+'20.HK'!Z6+'21.GreaterChina'!Z6+'22.SSEA'!Z6+'23.ROW'!Z6</f>
        <v>2317</v>
      </c>
      <c r="AA10" s="405"/>
      <c r="AB10" s="405"/>
      <c r="AC10" s="405"/>
      <c r="AD10" s="404">
        <v>7631</v>
      </c>
      <c r="AE10" s="413">
        <f>+'19.S''pore'!AE6+'20.HK'!AE6+'21.GreaterChina'!AE6+'22.SSEA'!AE6+'23.ROW'!AE6</f>
        <v>8064</v>
      </c>
      <c r="AF10" s="406"/>
    </row>
    <row r="11" spans="2:32" s="67" customFormat="1" ht="14.25">
      <c r="B11" s="67" t="s">
        <v>48</v>
      </c>
      <c r="D11" s="72">
        <f>+'19.S''pore'!D6/D10*100</f>
        <v>60.88542530260321</v>
      </c>
      <c r="E11" s="72">
        <f>+'19.S''pore'!E6/E10*100</f>
        <v>60.442223231864304</v>
      </c>
      <c r="F11" s="155">
        <f>+'19.S''pore'!F6/F10*100</f>
        <v>62.6379847155392</v>
      </c>
      <c r="G11" s="155">
        <v>61.839863713798984</v>
      </c>
      <c r="H11" s="155">
        <v>61.582341269841265</v>
      </c>
      <c r="I11" s="72"/>
      <c r="J11" s="72">
        <f>+'19.S''pore'!J6/J10*100</f>
        <v>57.701564380264735</v>
      </c>
      <c r="K11" s="72">
        <f>+'19.S''pore'!K6/K10*100</f>
        <v>63.83928571428571</v>
      </c>
      <c r="L11" s="72">
        <f>+'19.S''pore'!L6/L10*100</f>
        <v>59.22637920101459</v>
      </c>
      <c r="M11" s="155">
        <f>+'19.S''pore'!M6/M10*100</f>
        <v>60.68702290076335</v>
      </c>
      <c r="N11" s="155">
        <f>+'19.S''pore'!N6/N10*100</f>
        <v>59.89492119089317</v>
      </c>
      <c r="O11" s="155">
        <f>+'19.S''pore'!O6/O10*100</f>
        <v>63.691460055096414</v>
      </c>
      <c r="P11" s="155">
        <f>+'19.S''pore'!P6/P10*100</f>
        <v>62.07849640685461</v>
      </c>
      <c r="Q11" s="155">
        <f>+'19.S''pore'!Q6/Q10*100</f>
        <v>64.83516483516483</v>
      </c>
      <c r="R11" s="155">
        <f>+'19.S''pore'!R6/R10*100</f>
        <v>61.07909900471451</v>
      </c>
      <c r="S11" s="155">
        <f>+'19.S''pore'!S6/S10*100</f>
        <v>61.04461371055495</v>
      </c>
      <c r="T11" s="155">
        <f>+'19.S''pore'!T6/T10*100</f>
        <v>64.07520325203252</v>
      </c>
      <c r="U11" s="155">
        <f>+'19.S''pore'!U6/U10*100</f>
        <v>61.06471816283925</v>
      </c>
      <c r="V11" s="155">
        <f>+'19.S''pore'!V6/V10*100</f>
        <v>61.96660482374769</v>
      </c>
      <c r="W11" s="155">
        <f>+'19.S''pore'!W6/W10*100</f>
        <v>59.43444730077121</v>
      </c>
      <c r="X11" s="155">
        <f>+'19.S''pore'!X6/X10*100</f>
        <v>63.67265469061876</v>
      </c>
      <c r="Y11" s="155">
        <f>+'19.S''pore'!Y6/Y10*100</f>
        <v>61.15364982133742</v>
      </c>
      <c r="Z11" s="385">
        <f>+'19.S''pore'!Z6/Z10*100</f>
        <v>62.53776435045317</v>
      </c>
      <c r="AA11" s="80"/>
      <c r="AB11" s="80"/>
      <c r="AC11" s="80"/>
      <c r="AD11" s="260">
        <v>61.839863713798984</v>
      </c>
      <c r="AE11" s="384">
        <f>+'19.S''pore'!AE6/AE10*100</f>
        <v>61.582341269841265</v>
      </c>
      <c r="AF11" s="312"/>
    </row>
    <row r="12" spans="2:32" s="67" customFormat="1" ht="14.25">
      <c r="B12" s="67" t="s">
        <v>49</v>
      </c>
      <c r="D12" s="72">
        <f>+'20.HK'!D6/D10*100</f>
        <v>23.395788426463273</v>
      </c>
      <c r="E12" s="72">
        <f>+'20.HK'!E6/E10*100</f>
        <v>20.687566257761624</v>
      </c>
      <c r="F12" s="155">
        <f>+'20.HK'!F6/F10*100</f>
        <v>20.733088027172375</v>
      </c>
      <c r="G12" s="155">
        <v>19.040754815882586</v>
      </c>
      <c r="H12" s="155">
        <v>18.998015873015873</v>
      </c>
      <c r="I12" s="72"/>
      <c r="J12" s="72">
        <f>+'20.HK'!J6/J10*100</f>
        <v>21.119133574007222</v>
      </c>
      <c r="K12" s="72">
        <f>+'20.HK'!K6/K10*100</f>
        <v>19.084821428571427</v>
      </c>
      <c r="L12" s="72">
        <f>+'20.HK'!L6/L10*100</f>
        <v>20.989220038046923</v>
      </c>
      <c r="M12" s="155">
        <f>+'20.HK'!M6/M10*100</f>
        <v>21.755725190839694</v>
      </c>
      <c r="N12" s="155">
        <f>+'20.HK'!N6/N10*100</f>
        <v>21.424401634559253</v>
      </c>
      <c r="O12" s="155">
        <f>+'20.HK'!O6/O10*100</f>
        <v>20</v>
      </c>
      <c r="P12" s="155">
        <f>+'20.HK'!P6/P10*100</f>
        <v>21.337755666113875</v>
      </c>
      <c r="Q12" s="155">
        <f>+'20.HK'!Q6/Q10*100</f>
        <v>20.18507807981492</v>
      </c>
      <c r="R12" s="155">
        <f>+'20.HK'!R6/R10*100</f>
        <v>20.429544264012574</v>
      </c>
      <c r="S12" s="155">
        <f>+'20.HK'!S6/S10*100</f>
        <v>20.45701849836779</v>
      </c>
      <c r="T12" s="155">
        <f>+'20.HK'!T6/T10*100</f>
        <v>16.51422764227642</v>
      </c>
      <c r="U12" s="155">
        <f>+'20.HK'!U6/U10*100</f>
        <v>18.893528183716075</v>
      </c>
      <c r="V12" s="155">
        <f>+'20.HK'!V6/V10*100</f>
        <v>17.857142857142858</v>
      </c>
      <c r="W12" s="155">
        <f>+'20.HK'!W6/W10*100</f>
        <v>19.48586118251928</v>
      </c>
      <c r="X12" s="155">
        <f>+'20.HK'!X6/X10*100</f>
        <v>18.612774451097806</v>
      </c>
      <c r="Y12" s="155">
        <f>+'20.HK'!Y6/Y10*100</f>
        <v>20.163348647269014</v>
      </c>
      <c r="Z12" s="385">
        <f>+'20.HK'!Z6/Z10*100</f>
        <v>20.457488131204144</v>
      </c>
      <c r="AA12" s="80"/>
      <c r="AB12" s="80"/>
      <c r="AC12" s="80"/>
      <c r="AD12" s="260">
        <v>19.040754815882586</v>
      </c>
      <c r="AE12" s="384">
        <f>+'20.HK'!AE6/AE10*100</f>
        <v>18.998015873015873</v>
      </c>
      <c r="AF12" s="312"/>
    </row>
    <row r="13" spans="2:32" s="67" customFormat="1" ht="14.25">
      <c r="B13" s="67" t="s">
        <v>73</v>
      </c>
      <c r="D13" s="72">
        <f>+'21.GreaterChina'!D6/D10*100</f>
        <v>6.284198308738185</v>
      </c>
      <c r="E13" s="72">
        <f>+'21.GreaterChina'!E6/E10*100</f>
        <v>6.194154172345903</v>
      </c>
      <c r="F13" s="155">
        <f>+'21.GreaterChina'!F6/F10*100</f>
        <v>6.028870648174356</v>
      </c>
      <c r="G13" s="155">
        <v>8.019918752457084</v>
      </c>
      <c r="H13" s="155">
        <v>8.22172619047619</v>
      </c>
      <c r="I13" s="72"/>
      <c r="J13" s="72">
        <f>+'21.GreaterChina'!J6/J10*100</f>
        <v>7.039711191335741</v>
      </c>
      <c r="K13" s="72">
        <f>+'21.GreaterChina'!K6/K10*100</f>
        <v>5.747767857142857</v>
      </c>
      <c r="L13" s="72">
        <f>+'21.GreaterChina'!L6/L10*100</f>
        <v>6.404565630944832</v>
      </c>
      <c r="M13" s="155">
        <f>+'21.GreaterChina'!M6/M10*100</f>
        <v>5.597964376590331</v>
      </c>
      <c r="N13" s="155">
        <f>+'21.GreaterChina'!N6/N10*100</f>
        <v>6.246351430239346</v>
      </c>
      <c r="O13" s="155">
        <f>+'21.GreaterChina'!O6/O10*100</f>
        <v>5.7300275482093666</v>
      </c>
      <c r="P13" s="155">
        <f>+'21.GreaterChina'!P6/P10*100</f>
        <v>6.799336650082918</v>
      </c>
      <c r="Q13" s="155">
        <f>+'21.GreaterChina'!Q6/Q10*100</f>
        <v>5.320994794679005</v>
      </c>
      <c r="R13" s="155">
        <f>+'21.GreaterChina'!R6/R10*100</f>
        <v>7.386066003143006</v>
      </c>
      <c r="S13" s="155">
        <f>+'21.GreaterChina'!S6/S10*100</f>
        <v>8.10663764961915</v>
      </c>
      <c r="T13" s="155">
        <f>+'21.GreaterChina'!T6/T10*100</f>
        <v>8.180894308943088</v>
      </c>
      <c r="U13" s="155">
        <f>+'21.GreaterChina'!U6/U10*100</f>
        <v>8.402922755741127</v>
      </c>
      <c r="V13" s="155">
        <f>+'21.GreaterChina'!V6/V10*100</f>
        <v>8.39517625231911</v>
      </c>
      <c r="W13" s="155">
        <f>+'21.GreaterChina'!W6/W10*100</f>
        <v>10.437017994858612</v>
      </c>
      <c r="X13" s="155">
        <f>+'21.GreaterChina'!X6/X10*100</f>
        <v>7.0858283433133735</v>
      </c>
      <c r="Y13" s="155">
        <f>+'21.GreaterChina'!Y6/Y10*100</f>
        <v>6.993363961204696</v>
      </c>
      <c r="Z13" s="385">
        <f>+'21.GreaterChina'!Z6/Z10*100</f>
        <v>7.3370738023306</v>
      </c>
      <c r="AA13" s="80"/>
      <c r="AB13" s="80"/>
      <c r="AC13" s="80"/>
      <c r="AD13" s="260">
        <v>8.019918752457084</v>
      </c>
      <c r="AE13" s="384">
        <f>+'21.GreaterChina'!AE6/AE10*100</f>
        <v>8.22172619047619</v>
      </c>
      <c r="AF13" s="312"/>
    </row>
    <row r="14" spans="2:32" s="67" customFormat="1" ht="14.25">
      <c r="B14" s="67" t="s">
        <v>93</v>
      </c>
      <c r="D14" s="72">
        <f>+'22.SSEA'!D6/D10*100</f>
        <v>5.952578345216382</v>
      </c>
      <c r="E14" s="72">
        <f>+'22.SSEA'!E6/E10*100</f>
        <v>7.587460245343027</v>
      </c>
      <c r="F14" s="155">
        <f>+'22.SSEA'!F6/F10*100</f>
        <v>6.467591282196433</v>
      </c>
      <c r="G14" s="155">
        <v>7.299174420128423</v>
      </c>
      <c r="H14" s="155">
        <v>7.328869047619048</v>
      </c>
      <c r="I14" s="72"/>
      <c r="J14" s="72">
        <f>+'22.SSEA'!J6/J10*100</f>
        <v>9.326113116726836</v>
      </c>
      <c r="K14" s="72">
        <f>+'22.SSEA'!K6/K10*100</f>
        <v>6.752232142857142</v>
      </c>
      <c r="L14" s="72">
        <f>+'22.SSEA'!L6/L10*100</f>
        <v>7.609384908053266</v>
      </c>
      <c r="M14" s="155">
        <f>+'22.SSEA'!M6/M10*100</f>
        <v>6.679389312977099</v>
      </c>
      <c r="N14" s="155">
        <f>+'22.SSEA'!N6/N10*100</f>
        <v>7.647402218330414</v>
      </c>
      <c r="O14" s="155">
        <f>+'22.SSEA'!O6/O10*100</f>
        <v>6.721763085399449</v>
      </c>
      <c r="P14" s="155">
        <f>+'22.SSEA'!P6/P10*100</f>
        <v>5.693753454947484</v>
      </c>
      <c r="Q14" s="155">
        <f>+'22.SSEA'!Q6/Q10*100</f>
        <v>5.8415268941584735</v>
      </c>
      <c r="R14" s="155">
        <f>+'22.SSEA'!R6/R10*100</f>
        <v>6.862231534834992</v>
      </c>
      <c r="S14" s="155">
        <f>+'22.SSEA'!S6/S10*100</f>
        <v>6.746463547334058</v>
      </c>
      <c r="T14" s="155">
        <f>+'22.SSEA'!T6/T10*100</f>
        <v>8.180894308943088</v>
      </c>
      <c r="U14" s="155">
        <f>+'22.SSEA'!U6/U10*100</f>
        <v>7.359081419624217</v>
      </c>
      <c r="V14" s="155">
        <f>+'22.SSEA'!V6/V10*100</f>
        <v>7.745825602968461</v>
      </c>
      <c r="W14" s="155">
        <f>+'22.SSEA'!W6/W10*100</f>
        <v>7.043701799485862</v>
      </c>
      <c r="X14" s="155">
        <f>+'22.SSEA'!X6/X10*100</f>
        <v>6.986027944111776</v>
      </c>
      <c r="Y14" s="155">
        <f>+'22.SSEA'!Y6/Y10*100</f>
        <v>7.503828483920367</v>
      </c>
      <c r="Z14" s="385">
        <f>+'22.SSEA'!Z6/Z10*100</f>
        <v>6.603366422097539</v>
      </c>
      <c r="AA14" s="80"/>
      <c r="AB14" s="80"/>
      <c r="AC14" s="80"/>
      <c r="AD14" s="260">
        <v>7.299174420128423</v>
      </c>
      <c r="AE14" s="384">
        <f>+'22.SSEA'!AE6/AE10*100</f>
        <v>7.328869047619048</v>
      </c>
      <c r="AF14" s="312"/>
    </row>
    <row r="15" spans="2:32" s="67" customFormat="1" ht="14.25">
      <c r="B15" s="67" t="s">
        <v>75</v>
      </c>
      <c r="D15" s="72">
        <f>+'23.ROW'!D6/D10*100</f>
        <v>3.482009616978942</v>
      </c>
      <c r="E15" s="72">
        <f>+'23.ROW'!E6/E10*100</f>
        <v>5.088596092685143</v>
      </c>
      <c r="F15" s="155">
        <f>+'23.ROW'!F6/F10*100</f>
        <v>4.132465326917634</v>
      </c>
      <c r="G15" s="155">
        <v>3.8002882977329318</v>
      </c>
      <c r="H15" s="155">
        <v>3.869047619047619</v>
      </c>
      <c r="I15" s="72"/>
      <c r="J15" s="72">
        <f>+'23.ROW'!J6/J10*100</f>
        <v>4.813477737665464</v>
      </c>
      <c r="K15" s="72">
        <f>+'23.ROW'!K6/K10*100</f>
        <v>4.575892857142857</v>
      </c>
      <c r="L15" s="72">
        <f>+'23.ROW'!L6/L10*100</f>
        <v>5.7704502219403935</v>
      </c>
      <c r="M15" s="155">
        <f>+'23.ROW'!M6/M10*100</f>
        <v>5.2798982188295165</v>
      </c>
      <c r="N15" s="155">
        <f>+'23.ROW'!N6/N10*100</f>
        <v>4.786923525977817</v>
      </c>
      <c r="O15" s="155">
        <f>+'23.ROW'!O6/O10*100</f>
        <v>3.8567493112947657</v>
      </c>
      <c r="P15" s="155">
        <f>+'23.ROW'!P6/P10*100</f>
        <v>4.090657822001106</v>
      </c>
      <c r="Q15" s="155">
        <f>+'23.ROW'!Q6/Q10*100</f>
        <v>3.8172353961827645</v>
      </c>
      <c r="R15" s="155">
        <f>+'23.ROW'!R6/R10*100</f>
        <v>4.243059193294918</v>
      </c>
      <c r="S15" s="155">
        <f>+'23.ROW'!S6/S10*100</f>
        <v>3.6452665941240476</v>
      </c>
      <c r="T15" s="155">
        <f>+'23.ROW'!T6/T10*100</f>
        <v>3.048780487804878</v>
      </c>
      <c r="U15" s="155">
        <f>+'23.ROW'!U6/U10*100</f>
        <v>4.2797494780793315</v>
      </c>
      <c r="V15" s="155">
        <f>+'23.ROW'!V6/V10*100</f>
        <v>4.0352504638218925</v>
      </c>
      <c r="W15" s="155">
        <f>+'23.ROW'!W6/W10*100</f>
        <v>3.5989717223650386</v>
      </c>
      <c r="X15" s="155">
        <f>+'23.ROW'!X6/X10*100</f>
        <v>3.642714570858283</v>
      </c>
      <c r="Y15" s="155">
        <f>+'23.ROW'!Y6/Y10*100</f>
        <v>4.185809086268504</v>
      </c>
      <c r="Z15" s="385">
        <f>+'23.ROW'!Z6/Z10*100</f>
        <v>3.0643072939145446</v>
      </c>
      <c r="AA15" s="80"/>
      <c r="AB15" s="80"/>
      <c r="AC15" s="80"/>
      <c r="AD15" s="260">
        <v>3.8002882977329318</v>
      </c>
      <c r="AE15" s="384">
        <f>+'23.ROW'!AE6/AE10*100</f>
        <v>3.869047619047619</v>
      </c>
      <c r="AF15" s="312"/>
    </row>
    <row r="16" spans="4:32" s="67" customFormat="1" ht="14.25">
      <c r="D16" s="103"/>
      <c r="E16" s="103"/>
      <c r="F16" s="114"/>
      <c r="G16" s="114"/>
      <c r="H16" s="114"/>
      <c r="I16" s="103"/>
      <c r="J16" s="103"/>
      <c r="K16" s="103"/>
      <c r="L16" s="103"/>
      <c r="M16" s="114"/>
      <c r="N16" s="114"/>
      <c r="O16" s="114"/>
      <c r="P16" s="114"/>
      <c r="Q16" s="114"/>
      <c r="R16" s="114"/>
      <c r="S16" s="114"/>
      <c r="T16" s="114"/>
      <c r="U16" s="114"/>
      <c r="V16" s="114"/>
      <c r="W16" s="114"/>
      <c r="X16" s="114"/>
      <c r="Y16" s="114"/>
      <c r="Z16" s="396"/>
      <c r="AA16" s="80"/>
      <c r="AB16" s="80"/>
      <c r="AC16" s="80"/>
      <c r="AD16" s="388"/>
      <c r="AE16" s="397"/>
      <c r="AF16" s="312"/>
    </row>
    <row r="17" spans="1:32" s="67" customFormat="1" ht="15">
      <c r="A17" s="66" t="s">
        <v>132</v>
      </c>
      <c r="D17" s="103"/>
      <c r="E17" s="103"/>
      <c r="F17" s="114"/>
      <c r="G17" s="114"/>
      <c r="H17" s="114"/>
      <c r="I17" s="103"/>
      <c r="J17" s="103"/>
      <c r="K17" s="103"/>
      <c r="L17" s="103"/>
      <c r="M17" s="114"/>
      <c r="N17" s="114"/>
      <c r="O17" s="114"/>
      <c r="P17" s="114"/>
      <c r="Q17" s="114"/>
      <c r="R17" s="114"/>
      <c r="S17" s="114"/>
      <c r="T17" s="114"/>
      <c r="U17" s="114"/>
      <c r="V17" s="114"/>
      <c r="W17" s="114"/>
      <c r="X17" s="114"/>
      <c r="Y17" s="114"/>
      <c r="Z17" s="396"/>
      <c r="AA17" s="80"/>
      <c r="AB17" s="80"/>
      <c r="AC17" s="80"/>
      <c r="AD17" s="388"/>
      <c r="AE17" s="397"/>
      <c r="AF17" s="312"/>
    </row>
    <row r="18" spans="1:32" s="67" customFormat="1" ht="14.25" hidden="1">
      <c r="A18" s="49" t="s">
        <v>82</v>
      </c>
      <c r="D18" s="129">
        <f>+'15.Consumer'!D12+'16.Institutional'!D12+'17.Treasury'!D12+'18.Others'!D12</f>
        <v>2056</v>
      </c>
      <c r="E18" s="129">
        <f>+'15.Consumer'!E12+'16.Institutional'!E12+'17.Treasury'!E12+'18.Others'!E12</f>
        <v>2064</v>
      </c>
      <c r="F18" s="156">
        <f>+'15.Consumer'!F12+'16.Institutional'!F12+'17.Treasury'!F12+'18.Others'!F12</f>
        <v>2650</v>
      </c>
      <c r="G18" s="156">
        <v>0</v>
      </c>
      <c r="H18" s="156"/>
      <c r="I18" s="129"/>
      <c r="J18" s="129">
        <f>+'15.Consumer'!J12+'16.Institutional'!J12+'17.Treasury'!J12+'18.Others'!J12</f>
        <v>456</v>
      </c>
      <c r="K18" s="129">
        <f>+'15.Consumer'!K12+'16.Institutional'!K12+'17.Treasury'!K12+'18.Others'!K12</f>
        <v>552</v>
      </c>
      <c r="L18" s="129">
        <f>+'15.Consumer'!L12+'16.Institutional'!L12+'17.Treasury'!L12+'18.Others'!L12</f>
        <v>563</v>
      </c>
      <c r="M18" s="156">
        <f>+'15.Consumer'!M12+'16.Institutional'!M12+'17.Treasury'!M12+'18.Others'!M12</f>
        <v>493</v>
      </c>
      <c r="N18" s="156">
        <f>+'15.Consumer'!N12+'16.Institutional'!N12+'17.Treasury'!N12+'18.Others'!N12</f>
        <v>532</v>
      </c>
      <c r="O18" s="156">
        <f>+'15.Consumer'!O12+'16.Institutional'!O12+'17.Treasury'!O12+'18.Others'!O12</f>
        <v>718</v>
      </c>
      <c r="P18" s="156">
        <f>+'15.Consumer'!P12+'16.Institutional'!P12+'17.Treasury'!P12+'18.Others'!P12</f>
        <v>722</v>
      </c>
      <c r="Q18" s="156">
        <f>+'15.Consumer'!Q12+'16.Institutional'!Q12+'17.Treasury'!Q12+'18.Others'!Q12</f>
        <v>678</v>
      </c>
      <c r="R18" s="156">
        <f>+'15.Consumer'!R12+'16.Institutional'!R12+'17.Treasury'!R12+'18.Others'!R12</f>
        <v>807</v>
      </c>
      <c r="S18" s="156">
        <f>+'15.Consumer'!S12+'16.Institutional'!S12+'17.Treasury'!S12+'18.Others'!S12</f>
        <v>0</v>
      </c>
      <c r="T18" s="156">
        <f>+'15.Consumer'!T12+'16.Institutional'!T12+'17.Treasury'!T12+'18.Others'!T12</f>
        <v>0</v>
      </c>
      <c r="U18" s="156"/>
      <c r="V18" s="156"/>
      <c r="W18" s="156">
        <v>-170</v>
      </c>
      <c r="X18" s="156">
        <v>-170</v>
      </c>
      <c r="Y18" s="156">
        <v>-170</v>
      </c>
      <c r="Z18" s="398">
        <f>+'15.Consumer'!Z12+'16.Institutional'!Z12+'17.Treasury'!Z12+'18.Others'!Z12</f>
        <v>-170</v>
      </c>
      <c r="AA18" s="80"/>
      <c r="AB18" s="80"/>
      <c r="AC18" s="80"/>
      <c r="AD18" s="399">
        <v>0</v>
      </c>
      <c r="AE18" s="400">
        <f>+'15.Consumer'!AE12+'16.Institutional'!AE12+'17.Treasury'!AE12+'18.Others'!AE12</f>
        <v>0</v>
      </c>
      <c r="AF18" s="312"/>
    </row>
    <row r="19" spans="2:32" s="67" customFormat="1" ht="14.25" hidden="1">
      <c r="B19" s="67" t="s">
        <v>382</v>
      </c>
      <c r="D19" s="135">
        <f>+'15.Consumer'!D12/D18*100</f>
        <v>32.68482490272373</v>
      </c>
      <c r="E19" s="135">
        <f>+'15.Consumer'!E12/E18*100</f>
        <v>27.71317829457364</v>
      </c>
      <c r="F19" s="155">
        <f>+'15.Consumer'!F12/F18*100</f>
        <v>17.28301886792453</v>
      </c>
      <c r="G19" s="155" t="e">
        <v>#DIV/0!</v>
      </c>
      <c r="H19" s="155"/>
      <c r="I19" s="72"/>
      <c r="J19" s="135">
        <f>+'15.Consumer'!J12/J18*100</f>
        <v>31.140350877192986</v>
      </c>
      <c r="K19" s="135">
        <f>+'15.Consumer'!K12/K18*100</f>
        <v>23.91304347826087</v>
      </c>
      <c r="L19" s="135">
        <f>+'15.Consumer'!L12/L18*100</f>
        <v>31.08348134991119</v>
      </c>
      <c r="M19" s="155">
        <f>+'15.Consumer'!M12/M18*100</f>
        <v>25.15212981744422</v>
      </c>
      <c r="N19" s="155">
        <f>+'15.Consumer'!N12/N18*100</f>
        <v>24.62406015037594</v>
      </c>
      <c r="O19" s="155">
        <f>+'15.Consumer'!O12/O18*100</f>
        <v>15.87743732590529</v>
      </c>
      <c r="P19" s="155">
        <f>+'15.Consumer'!P12/P18*100</f>
        <v>15.23545706371191</v>
      </c>
      <c r="Q19" s="155">
        <f>+'15.Consumer'!Q12/Q18*100</f>
        <v>15.191740412979351</v>
      </c>
      <c r="R19" s="155">
        <f>+'15.Consumer'!R12/R18*100</f>
        <v>14.12639405204461</v>
      </c>
      <c r="S19" s="155" t="e">
        <f>+'15.Consumer'!S12/S18*100</f>
        <v>#DIV/0!</v>
      </c>
      <c r="T19" s="155" t="e">
        <f>+'15.Consumer'!T12/T18*100</f>
        <v>#DIV/0!</v>
      </c>
      <c r="U19" s="155"/>
      <c r="V19" s="155"/>
      <c r="W19" s="155">
        <v>0</v>
      </c>
      <c r="X19" s="155">
        <v>0</v>
      </c>
      <c r="Y19" s="155">
        <v>0</v>
      </c>
      <c r="Z19" s="385">
        <f>+'15.Consumer'!Z12/Z18*100</f>
        <v>0</v>
      </c>
      <c r="AA19" s="80"/>
      <c r="AB19" s="80"/>
      <c r="AC19" s="80"/>
      <c r="AD19" s="260" t="e">
        <v>#DIV/0!</v>
      </c>
      <c r="AE19" s="384" t="e">
        <f>+'15.Consumer'!AE12/AE18*100</f>
        <v>#DIV/0!</v>
      </c>
      <c r="AF19" s="312"/>
    </row>
    <row r="20" spans="2:32" s="67" customFormat="1" ht="14.25" hidden="1">
      <c r="B20" s="67" t="s">
        <v>130</v>
      </c>
      <c r="D20" s="135">
        <f>+'16.Institutional'!D12/D18*100</f>
        <v>48.10311284046693</v>
      </c>
      <c r="E20" s="135">
        <f>+'16.Institutional'!E12/E18*100</f>
        <v>47.189922480620154</v>
      </c>
      <c r="F20" s="155">
        <f>+'16.Institutional'!F12/F18*100</f>
        <v>51.320754716981135</v>
      </c>
      <c r="G20" s="155" t="e">
        <v>#DIV/0!</v>
      </c>
      <c r="H20" s="155"/>
      <c r="I20" s="72"/>
      <c r="J20" s="135">
        <f>+'16.Institutional'!J12/J18*100</f>
        <v>57.23684210526315</v>
      </c>
      <c r="K20" s="135">
        <f>+'16.Institutional'!K12/K18*100</f>
        <v>48.007246376811594</v>
      </c>
      <c r="L20" s="135">
        <f>+'16.Institutional'!L12/L18*100</f>
        <v>53.46358792184724</v>
      </c>
      <c r="M20" s="155">
        <f>+'16.Institutional'!M12/M18*100</f>
        <v>29.61460446247465</v>
      </c>
      <c r="N20" s="155">
        <f>+'16.Institutional'!N12/N18*100</f>
        <v>39.097744360902254</v>
      </c>
      <c r="O20" s="155">
        <f>+'16.Institutional'!O12/O18*100</f>
        <v>55.84958217270195</v>
      </c>
      <c r="P20" s="155">
        <f>+'16.Institutional'!P12/P18*100</f>
        <v>56.78670360110804</v>
      </c>
      <c r="Q20" s="155">
        <f>+'16.Institutional'!Q12/Q18*100</f>
        <v>50.29498525073747</v>
      </c>
      <c r="R20" s="155">
        <f>+'16.Institutional'!R12/R18*100</f>
        <v>64.80793060718712</v>
      </c>
      <c r="S20" s="155" t="e">
        <f>+'16.Institutional'!S12/S18*100</f>
        <v>#DIV/0!</v>
      </c>
      <c r="T20" s="155" t="e">
        <f>+'16.Institutional'!T12/T18*100</f>
        <v>#DIV/0!</v>
      </c>
      <c r="U20" s="155"/>
      <c r="V20" s="155"/>
      <c r="W20" s="155">
        <v>0</v>
      </c>
      <c r="X20" s="155">
        <v>0</v>
      </c>
      <c r="Y20" s="155">
        <v>0</v>
      </c>
      <c r="Z20" s="385">
        <f>+'16.Institutional'!Z12/Z18*100</f>
        <v>0</v>
      </c>
      <c r="AA20" s="80"/>
      <c r="AB20" s="80"/>
      <c r="AC20" s="80"/>
      <c r="AD20" s="260" t="e">
        <v>#DIV/0!</v>
      </c>
      <c r="AE20" s="384" t="e">
        <f>+'16.Institutional'!AE12/AE18*100</f>
        <v>#DIV/0!</v>
      </c>
      <c r="AF20" s="312"/>
    </row>
    <row r="21" spans="2:32" s="67" customFormat="1" ht="14.25" hidden="1">
      <c r="B21" s="67" t="s">
        <v>333</v>
      </c>
      <c r="D21" s="135">
        <f>+'17.Treasury'!D12/D18*100</f>
        <v>10.408560311284047</v>
      </c>
      <c r="E21" s="135">
        <f>+'17.Treasury'!E12/E18*100</f>
        <v>35.02906976744186</v>
      </c>
      <c r="F21" s="155">
        <f>+'17.Treasury'!F12/F18*100</f>
        <v>27.660377358490567</v>
      </c>
      <c r="G21" s="155" t="e">
        <v>#DIV/0!</v>
      </c>
      <c r="H21" s="155"/>
      <c r="I21" s="72"/>
      <c r="J21" s="135">
        <f>+'17.Treasury'!J12/J18*100</f>
        <v>60.30701754385965</v>
      </c>
      <c r="K21" s="135">
        <f>+'17.Treasury'!K12/K18*100</f>
        <v>28.442028985507246</v>
      </c>
      <c r="L21" s="135">
        <f>+'17.Treasury'!L12/L18*100</f>
        <v>25.044404973357015</v>
      </c>
      <c r="M21" s="155">
        <f>+'17.Treasury'!M12/M18*100</f>
        <v>30.425963488843816</v>
      </c>
      <c r="N21" s="155">
        <f>+'17.Treasury'!N12/N18*100</f>
        <v>44.92481203007519</v>
      </c>
      <c r="O21" s="155">
        <f>+'17.Treasury'!O12/O18*100</f>
        <v>31.894150417827298</v>
      </c>
      <c r="P21" s="155">
        <f>+'17.Treasury'!P12/P18*100</f>
        <v>28.80886426592798</v>
      </c>
      <c r="Q21" s="155">
        <f>+'17.Treasury'!Q12/Q18*100</f>
        <v>8.4070796460177</v>
      </c>
      <c r="R21" s="155">
        <f>+'17.Treasury'!R12/R18*100</f>
        <v>20.941759603469638</v>
      </c>
      <c r="S21" s="155" t="e">
        <f>+'17.Treasury'!S12/S18*100</f>
        <v>#DIV/0!</v>
      </c>
      <c r="T21" s="155" t="e">
        <f>+'17.Treasury'!T12/T18*100</f>
        <v>#DIV/0!</v>
      </c>
      <c r="U21" s="155"/>
      <c r="V21" s="155"/>
      <c r="W21" s="155">
        <v>99.41176470588235</v>
      </c>
      <c r="X21" s="155">
        <v>99.41176470588235</v>
      </c>
      <c r="Y21" s="155">
        <v>99.41176470588235</v>
      </c>
      <c r="Z21" s="385">
        <f>+'17.Treasury'!Z12/Z18*100</f>
        <v>99.41176470588235</v>
      </c>
      <c r="AA21" s="80"/>
      <c r="AB21" s="80"/>
      <c r="AC21" s="80"/>
      <c r="AD21" s="260" t="e">
        <v>#DIV/0!</v>
      </c>
      <c r="AE21" s="384" t="e">
        <f>+'17.Treasury'!AE12/AE18*100</f>
        <v>#DIV/0!</v>
      </c>
      <c r="AF21" s="312"/>
    </row>
    <row r="22" spans="2:32" s="67" customFormat="1" ht="14.25" hidden="1">
      <c r="B22" s="67" t="s">
        <v>35</v>
      </c>
      <c r="D22" s="135">
        <f>+'18.Others'!D12/D18*100</f>
        <v>8.803501945525293</v>
      </c>
      <c r="E22" s="135">
        <f>+'18.Others'!E12/E18*100</f>
        <v>-9.932170542635658</v>
      </c>
      <c r="F22" s="155">
        <f>+'18.Others'!F12/F18*100</f>
        <v>3.735849056603774</v>
      </c>
      <c r="G22" s="155" t="e">
        <v>#DIV/0!</v>
      </c>
      <c r="H22" s="155"/>
      <c r="I22" s="135"/>
      <c r="J22" s="135">
        <f>+'18.Others'!J12/J18*100</f>
        <v>-48.68421052631579</v>
      </c>
      <c r="K22" s="135">
        <f>+'18.Others'!K12/K18*100</f>
        <v>-0.36231884057971014</v>
      </c>
      <c r="L22" s="135">
        <f>+'18.Others'!L12/L18*100</f>
        <v>-9.591474245115453</v>
      </c>
      <c r="M22" s="155">
        <f>+'18.Others'!M12/M18*100</f>
        <v>14.807302231237324</v>
      </c>
      <c r="N22" s="155">
        <f>+'18.Others'!N12/N18*100</f>
        <v>-8.646616541353383</v>
      </c>
      <c r="O22" s="155">
        <f>+'18.Others'!O12/O18*100</f>
        <v>-3.6211699164345403</v>
      </c>
      <c r="P22" s="155">
        <f>+'18.Others'!P12/P18*100</f>
        <v>-0.8310249307479225</v>
      </c>
      <c r="Q22" s="155">
        <f>+'18.Others'!Q12/Q18*100</f>
        <v>26.10619469026549</v>
      </c>
      <c r="R22" s="155">
        <f>+'18.Others'!R12/R18*100</f>
        <v>0.12391573729863693</v>
      </c>
      <c r="S22" s="155" t="e">
        <f>+'18.Others'!S12/S18*100</f>
        <v>#DIV/0!</v>
      </c>
      <c r="T22" s="155" t="e">
        <f>+'18.Others'!T12/T18*100</f>
        <v>#DIV/0!</v>
      </c>
      <c r="U22" s="155"/>
      <c r="V22" s="155"/>
      <c r="W22" s="155">
        <v>0.5882352941176471</v>
      </c>
      <c r="X22" s="155">
        <v>0.5882352941176471</v>
      </c>
      <c r="Y22" s="155">
        <v>0.5882352941176471</v>
      </c>
      <c r="Z22" s="385">
        <f>+'18.Others'!Z12/Z18*100</f>
        <v>0.5882352941176471</v>
      </c>
      <c r="AA22" s="80"/>
      <c r="AB22" s="80"/>
      <c r="AC22" s="80"/>
      <c r="AD22" s="260" t="e">
        <v>#DIV/0!</v>
      </c>
      <c r="AE22" s="384" t="e">
        <f>+'18.Others'!AE12/AE18*100</f>
        <v>#DIV/0!</v>
      </c>
      <c r="AF22" s="312"/>
    </row>
    <row r="23" spans="1:32" s="67" customFormat="1" ht="14.25">
      <c r="A23" s="58" t="s">
        <v>81</v>
      </c>
      <c r="D23" s="129">
        <f>+'19.S''pore'!D12+'20.HK'!D12+'21.GreaterChina'!D12+'22.SSEA'!D12+'23.ROW'!D12</f>
        <v>2056</v>
      </c>
      <c r="E23" s="129">
        <f>+'19.S''pore'!E12+'20.HK'!E12+'21.GreaterChina'!E12+'22.SSEA'!E12+'23.ROW'!E12</f>
        <v>2064</v>
      </c>
      <c r="F23" s="156">
        <f>+'19.S''pore'!F12+'20.HK'!F12+'21.GreaterChina'!F12+'22.SSEA'!F12+'23.ROW'!F12</f>
        <v>2650</v>
      </c>
      <c r="G23" s="156">
        <v>3035</v>
      </c>
      <c r="H23" s="156"/>
      <c r="I23" s="129"/>
      <c r="J23" s="129">
        <f>+'19.S''pore'!J12+'20.HK'!J12+'21.GreaterChina'!J12+'22.SSEA'!J12+'23.ROW'!J12</f>
        <v>456</v>
      </c>
      <c r="K23" s="129">
        <f>+'19.S''pore'!K12+'20.HK'!K12+'21.GreaterChina'!K12+'22.SSEA'!K12+'23.ROW'!K12</f>
        <v>552</v>
      </c>
      <c r="L23" s="129">
        <f>+'19.S''pore'!L12+'20.HK'!L12+'21.GreaterChina'!L12+'22.SSEA'!L12+'23.ROW'!L12</f>
        <v>563</v>
      </c>
      <c r="M23" s="156">
        <f>+'19.S''pore'!M12+'20.HK'!M12+'21.GreaterChina'!M12+'22.SSEA'!M12+'23.ROW'!M12</f>
        <v>493</v>
      </c>
      <c r="N23" s="156">
        <f>+'19.S''pore'!N12+'20.HK'!N12+'21.GreaterChina'!N12+'22.SSEA'!N12+'23.ROW'!N12</f>
        <v>532</v>
      </c>
      <c r="O23" s="156">
        <f>+'19.S''pore'!O12+'20.HK'!O12+'21.GreaterChina'!O12+'22.SSEA'!O12+'23.ROW'!O12</f>
        <v>718</v>
      </c>
      <c r="P23" s="156">
        <f>+'19.S''pore'!P12+'20.HK'!P12+'21.GreaterChina'!P12+'22.SSEA'!P12+'23.ROW'!P12</f>
        <v>722</v>
      </c>
      <c r="Q23" s="156">
        <f>+'19.S''pore'!Q12+'20.HK'!Q12+'21.GreaterChina'!Q12+'22.SSEA'!Q12+'23.ROW'!Q12</f>
        <v>678</v>
      </c>
      <c r="R23" s="156">
        <f>+'19.S''pore'!R12+'20.HK'!R12+'21.GreaterChina'!R12+'22.SSEA'!R12+'23.ROW'!R12</f>
        <v>807</v>
      </c>
      <c r="S23" s="156">
        <f>+'19.S''pore'!S12+'20.HK'!S12+'21.GreaterChina'!S12+'22.SSEA'!S12+'23.ROW'!S12</f>
        <v>735</v>
      </c>
      <c r="T23" s="156">
        <f>+'19.S''pore'!T12+'20.HK'!T12+'21.GreaterChina'!T12+'22.SSEA'!T12+'23.ROW'!T12</f>
        <v>762</v>
      </c>
      <c r="U23" s="156">
        <f>+'19.S''pore'!U12+'20.HK'!U12+'21.GreaterChina'!U12+'22.SSEA'!U12+'23.ROW'!U12</f>
        <v>731</v>
      </c>
      <c r="V23" s="156">
        <f>+'19.S''pore'!V12+'20.HK'!V12+'21.GreaterChina'!V12+'22.SSEA'!V12+'23.ROW'!V12</f>
        <v>933</v>
      </c>
      <c r="W23" s="156">
        <f>+'19.S''pore'!W12+'20.HK'!W12+'21.GreaterChina'!W12+'22.SSEA'!W12+'23.ROW'!W12</f>
        <v>810</v>
      </c>
      <c r="X23" s="156">
        <f>+'19.S''pore'!X12+'20.HK'!X12+'21.GreaterChina'!X12+'22.SSEA'!X12+'23.ROW'!X12</f>
        <v>856</v>
      </c>
      <c r="Y23" s="156">
        <f>+'19.S''pore'!Y12+'20.HK'!Y12+'21.GreaterChina'!Y12+'22.SSEA'!Y12+'23.ROW'!Y12</f>
        <v>760</v>
      </c>
      <c r="Z23" s="412">
        <f>+'19.S''pore'!Z12+'20.HK'!Z12+'21.GreaterChina'!Z12+'22.SSEA'!Z12+'23.ROW'!Z12</f>
        <v>950</v>
      </c>
      <c r="AA23" s="405"/>
      <c r="AB23" s="405"/>
      <c r="AC23" s="405"/>
      <c r="AD23" s="404">
        <v>3035</v>
      </c>
      <c r="AE23" s="413">
        <f>+'19.S''pore'!AE12+'20.HK'!AE12+'21.GreaterChina'!AE12+'22.SSEA'!AE12+'23.ROW'!AE12</f>
        <v>3359</v>
      </c>
      <c r="AF23" s="312"/>
    </row>
    <row r="24" spans="2:32" s="67" customFormat="1" ht="14.25">
      <c r="B24" s="67" t="s">
        <v>48</v>
      </c>
      <c r="D24" s="72">
        <f>+'19.S''pore'!D12/D23*100</f>
        <v>65.36964980544747</v>
      </c>
      <c r="E24" s="72">
        <f>+'19.S''pore'!E12/E23*100</f>
        <v>57.46124031007752</v>
      </c>
      <c r="F24" s="155">
        <f>+'19.S''pore'!F12/F23*100</f>
        <v>63.698113207547166</v>
      </c>
      <c r="G24" s="155">
        <v>61.84514003294893</v>
      </c>
      <c r="H24" s="155">
        <v>61.893420660910984</v>
      </c>
      <c r="I24" s="72"/>
      <c r="J24" s="72">
        <f>+'19.S''pore'!J12/J23*100</f>
        <v>56.79824561403509</v>
      </c>
      <c r="K24" s="72">
        <f>+'19.S''pore'!K12/K23*100</f>
        <v>58.69565217391305</v>
      </c>
      <c r="L24" s="72">
        <f>+'19.S''pore'!L12/L23*100</f>
        <v>47.60213143872114</v>
      </c>
      <c r="M24" s="155">
        <f>+'19.S''pore'!M12/M23*100</f>
        <v>67.95131845841786</v>
      </c>
      <c r="N24" s="155">
        <f>+'19.S''pore'!N12/N23*100</f>
        <v>46.804511278195484</v>
      </c>
      <c r="O24" s="155">
        <f>+'19.S''pore'!O12/O23*100</f>
        <v>74.93036211699165</v>
      </c>
      <c r="P24" s="155">
        <f>+'19.S''pore'!P12/P23*100</f>
        <v>59.556786703601105</v>
      </c>
      <c r="Q24" s="155">
        <f>+'19.S''pore'!Q12/Q23*100</f>
        <v>69.46902654867256</v>
      </c>
      <c r="R24" s="155">
        <f>+'19.S''pore'!R12/R23*100</f>
        <v>54.770755885997524</v>
      </c>
      <c r="S24" s="155">
        <f>+'19.S''pore'!S12/S23*100</f>
        <v>62.44897959183674</v>
      </c>
      <c r="T24" s="155">
        <f>+'19.S''pore'!T12/T23*100</f>
        <v>66.40419947506561</v>
      </c>
      <c r="U24" s="155">
        <f>+'19.S''pore'!U12/U23*100</f>
        <v>64.29548563611492</v>
      </c>
      <c r="V24" s="155">
        <f>+'19.S''pore'!V12/V23*100</f>
        <v>58.62808145766345</v>
      </c>
      <c r="W24" s="155">
        <f>+'19.S''pore'!W12/W23*100</f>
        <v>57.03703703703704</v>
      </c>
      <c r="X24" s="155">
        <f>+'19.S''pore'!X12/X23*100</f>
        <v>62.5</v>
      </c>
      <c r="Y24" s="155">
        <f>+'19.S''pore'!Y12/Y23*100</f>
        <v>70.39473684210526</v>
      </c>
      <c r="Z24" s="385">
        <f>+'19.S''pore'!Z12/Z23*100</f>
        <v>67.47368421052632</v>
      </c>
      <c r="AA24" s="80"/>
      <c r="AB24" s="80"/>
      <c r="AC24" s="80"/>
      <c r="AD24" s="260">
        <v>61.84514003294893</v>
      </c>
      <c r="AE24" s="384">
        <f>+'19.S''pore'!AE12/AE23*100</f>
        <v>61.893420660910984</v>
      </c>
      <c r="AF24" s="312"/>
    </row>
    <row r="25" spans="2:32" s="67" customFormat="1" ht="14.25">
      <c r="B25" s="67" t="s">
        <v>49</v>
      </c>
      <c r="D25" s="72">
        <f>+'20.HK'!D12/D23*100</f>
        <v>18.96887159533074</v>
      </c>
      <c r="E25" s="72">
        <f>+'20.HK'!E12/E23*100</f>
        <v>22.48062015503876</v>
      </c>
      <c r="F25" s="155">
        <f>+'20.HK'!F12/F23*100</f>
        <v>21.849056603773583</v>
      </c>
      <c r="G25" s="155">
        <v>18.813838550247116</v>
      </c>
      <c r="H25" s="155">
        <v>21.315867817802918</v>
      </c>
      <c r="I25" s="72"/>
      <c r="J25" s="72">
        <f>+'20.HK'!J12/J23*100</f>
        <v>20.614035087719298</v>
      </c>
      <c r="K25" s="72">
        <f>+'20.HK'!K12/K23*100</f>
        <v>17.934782608695652</v>
      </c>
      <c r="L25" s="72">
        <f>+'20.HK'!L12/L23*100</f>
        <v>25.399644760213143</v>
      </c>
      <c r="M25" s="155">
        <f>+'20.HK'!M12/M23*100</f>
        <v>25.963488843813387</v>
      </c>
      <c r="N25" s="155">
        <f>+'20.HK'!N12/N23*100</f>
        <v>33.83458646616541</v>
      </c>
      <c r="O25" s="155">
        <f>+'20.HK'!O12/O23*100</f>
        <v>9.052924791086351</v>
      </c>
      <c r="P25" s="155">
        <f>+'20.HK'!P12/P23*100</f>
        <v>26.31578947368421</v>
      </c>
      <c r="Q25" s="155">
        <f>+'20.HK'!Q12/Q23*100</f>
        <v>21.238938053097346</v>
      </c>
      <c r="R25" s="155">
        <f>+'20.HK'!R12/R23*100</f>
        <v>23.543990086741015</v>
      </c>
      <c r="S25" s="155">
        <f>+'20.HK'!S12/S23*100</f>
        <v>19.45578231292517</v>
      </c>
      <c r="T25" s="155">
        <f>+'20.HK'!T12/T23*100</f>
        <v>14.173228346456693</v>
      </c>
      <c r="U25" s="155">
        <f>+'20.HK'!U12/U23*100</f>
        <v>17.783857729138166</v>
      </c>
      <c r="V25" s="155">
        <f>+'20.HK'!V12/V23*100</f>
        <v>20.364415862808148</v>
      </c>
      <c r="W25" s="155">
        <f>+'20.HK'!W12/W23*100</f>
        <v>21.85185185185185</v>
      </c>
      <c r="X25" s="155">
        <f>+'20.HK'!X12/X23*100</f>
        <v>21.845794392523366</v>
      </c>
      <c r="Y25" s="155">
        <f>+'20.HK'!Y12/Y23*100</f>
        <v>21.31578947368421</v>
      </c>
      <c r="Z25" s="385">
        <f>+'20.HK'!Z12/Z23*100</f>
        <v>23.36842105263158</v>
      </c>
      <c r="AA25" s="80"/>
      <c r="AB25" s="80"/>
      <c r="AC25" s="80"/>
      <c r="AD25" s="260">
        <v>18.813838550247116</v>
      </c>
      <c r="AE25" s="384">
        <f>+'20.HK'!AE12/AE23*100</f>
        <v>21.315867817802918</v>
      </c>
      <c r="AF25" s="312"/>
    </row>
    <row r="26" spans="2:32" s="67" customFormat="1" ht="14.25">
      <c r="B26" s="67" t="s">
        <v>73</v>
      </c>
      <c r="D26" s="72">
        <f>+'21.GreaterChina'!D12/D23*100</f>
        <v>5.058365758754864</v>
      </c>
      <c r="E26" s="72">
        <f>+'21.GreaterChina'!E12/E23*100</f>
        <v>3.2945736434108532</v>
      </c>
      <c r="F26" s="155">
        <f>+'21.GreaterChina'!F12/F23*100</f>
        <v>1.7735849056603774</v>
      </c>
      <c r="G26" s="155">
        <v>5.864909390444811</v>
      </c>
      <c r="H26" s="155">
        <v>3.274784161952962</v>
      </c>
      <c r="I26" s="72"/>
      <c r="J26" s="72">
        <f>+'21.GreaterChina'!J12/J23*100</f>
        <v>8.552631578947368</v>
      </c>
      <c r="K26" s="72">
        <f>+'21.GreaterChina'!K12/K23*100</f>
        <v>3.804347826086957</v>
      </c>
      <c r="L26" s="72">
        <f>+'21.GreaterChina'!L12/L23*100</f>
        <v>3.7300177619893424</v>
      </c>
      <c r="M26" s="155">
        <f>+'21.GreaterChina'!M12/M23*100</f>
        <v>-2.636916835699797</v>
      </c>
      <c r="N26" s="155">
        <f>+'21.GreaterChina'!N12/N23*100</f>
        <v>5.639097744360902</v>
      </c>
      <c r="O26" s="155">
        <f>+'21.GreaterChina'!O12/O23*100</f>
        <v>1.6713091922005572</v>
      </c>
      <c r="P26" s="155">
        <f>+'21.GreaterChina'!P12/P23*100</f>
        <v>2.7700831024930745</v>
      </c>
      <c r="Q26" s="155">
        <f>+'21.GreaterChina'!Q12/Q23*100</f>
        <v>-2.2123893805309733</v>
      </c>
      <c r="R26" s="155">
        <f>+'21.GreaterChina'!R12/R23*100</f>
        <v>6.567534076827757</v>
      </c>
      <c r="S26" s="155">
        <f>+'21.GreaterChina'!S12/S23*100</f>
        <v>5.850340136054422</v>
      </c>
      <c r="T26" s="155">
        <f>+'21.GreaterChina'!T12/T23*100</f>
        <v>6.036745406824147</v>
      </c>
      <c r="U26" s="155">
        <f>+'21.GreaterChina'!U12/U23*100</f>
        <v>4.924760601915184</v>
      </c>
      <c r="V26" s="155">
        <f>+'21.GreaterChina'!V12/V23*100</f>
        <v>5.894962486602358</v>
      </c>
      <c r="W26" s="155">
        <f>+'21.GreaterChina'!W12/W23*100</f>
        <v>8.271604938271606</v>
      </c>
      <c r="X26" s="155">
        <f>+'21.GreaterChina'!X12/X23*100</f>
        <v>1.2850467289719625</v>
      </c>
      <c r="Y26" s="155">
        <f>+'21.GreaterChina'!Y12/Y23*100</f>
        <v>-3.026315789473684</v>
      </c>
      <c r="Z26" s="385">
        <f>+'21.GreaterChina'!Z12/Z23*100</f>
        <v>3.8947368421052633</v>
      </c>
      <c r="AA26" s="80"/>
      <c r="AB26" s="80"/>
      <c r="AC26" s="80"/>
      <c r="AD26" s="260">
        <v>5.864909390444811</v>
      </c>
      <c r="AE26" s="384">
        <f>+'21.GreaterChina'!AE12/AE23*100</f>
        <v>3.274784161952962</v>
      </c>
      <c r="AF26" s="312"/>
    </row>
    <row r="27" spans="2:32" s="67" customFormat="1" ht="14.25">
      <c r="B27" s="67" t="s">
        <v>93</v>
      </c>
      <c r="D27" s="72">
        <f>+'22.SSEA'!D12/D23*100</f>
        <v>7.392996108949417</v>
      </c>
      <c r="E27" s="72">
        <f>+'22.SSEA'!E12/E23*100</f>
        <v>10.949612403100776</v>
      </c>
      <c r="F27" s="155">
        <f>+'22.SSEA'!F12/F23*100</f>
        <v>7.660377358490567</v>
      </c>
      <c r="G27" s="155">
        <v>9.390444810543658</v>
      </c>
      <c r="H27" s="155">
        <v>8.722834176838344</v>
      </c>
      <c r="I27" s="72"/>
      <c r="J27" s="72">
        <f>+'22.SSEA'!J12/J23*100</f>
        <v>13.815789473684212</v>
      </c>
      <c r="K27" s="72">
        <f>+'22.SSEA'!K12/K23*100</f>
        <v>10.507246376811594</v>
      </c>
      <c r="L27" s="72">
        <f>+'22.SSEA'!L12/L23*100</f>
        <v>12.433392539964476</v>
      </c>
      <c r="M27" s="155">
        <f>+'22.SSEA'!M12/M23*100</f>
        <v>7.099391480730223</v>
      </c>
      <c r="N27" s="155">
        <f>+'22.SSEA'!N12/N23*100</f>
        <v>11.654135338345863</v>
      </c>
      <c r="O27" s="155">
        <f>+'22.SSEA'!O12/O23*100</f>
        <v>7.66016713091922</v>
      </c>
      <c r="P27" s="155">
        <f>+'22.SSEA'!P12/P23*100</f>
        <v>4.7091412742382275</v>
      </c>
      <c r="Q27" s="155">
        <f>+'22.SSEA'!Q12/Q23*100</f>
        <v>7.669616519174041</v>
      </c>
      <c r="R27" s="155">
        <f>+'22.SSEA'!R12/R23*100</f>
        <v>9.293680297397769</v>
      </c>
      <c r="S27" s="155">
        <f>+'22.SSEA'!S12/S23*100</f>
        <v>8.435374149659863</v>
      </c>
      <c r="T27" s="155">
        <f>+'22.SSEA'!T12/T23*100</f>
        <v>11.548556430446194</v>
      </c>
      <c r="U27" s="155">
        <f>+'22.SSEA'!U12/U23*100</f>
        <v>8.207934336525307</v>
      </c>
      <c r="V27" s="155">
        <f>+'22.SSEA'!V12/V23*100</f>
        <v>10.289389067524116</v>
      </c>
      <c r="W27" s="155">
        <f>+'22.SSEA'!W12/W23*100</f>
        <v>7.28395061728395</v>
      </c>
      <c r="X27" s="155">
        <f>+'22.SSEA'!X12/X23*100</f>
        <v>8.177570093457943</v>
      </c>
      <c r="Y27" s="155">
        <f>+'22.SSEA'!Y12/Y23*100</f>
        <v>8.947368421052632</v>
      </c>
      <c r="Z27" s="385">
        <f>+'22.SSEA'!Z12/Z23*100</f>
        <v>7.2631578947368425</v>
      </c>
      <c r="AA27" s="80"/>
      <c r="AB27" s="80"/>
      <c r="AC27" s="80"/>
      <c r="AD27" s="260">
        <v>9.390444810543658</v>
      </c>
      <c r="AE27" s="384">
        <f>+'22.SSEA'!AE12/AE23*100</f>
        <v>8.722834176838344</v>
      </c>
      <c r="AF27" s="312"/>
    </row>
    <row r="28" spans="2:32" s="67" customFormat="1" ht="14.25">
      <c r="B28" s="67" t="s">
        <v>75</v>
      </c>
      <c r="D28" s="72">
        <f>+'23.ROW'!D12/D23*100</f>
        <v>3.2101167315175094</v>
      </c>
      <c r="E28" s="72">
        <f>+'23.ROW'!E12/E23*100</f>
        <v>5.813953488372093</v>
      </c>
      <c r="F28" s="155">
        <f>+'23.ROW'!F12/F23*100</f>
        <v>5.018867924528301</v>
      </c>
      <c r="G28" s="155">
        <v>4.085667215815486</v>
      </c>
      <c r="H28" s="155">
        <v>4.79309318249479</v>
      </c>
      <c r="I28" s="72"/>
      <c r="J28" s="72">
        <f>+'23.ROW'!J12/J23*100</f>
        <v>0.21929824561403508</v>
      </c>
      <c r="K28" s="72">
        <f>+'23.ROW'!K12/K23*100</f>
        <v>9.057971014492754</v>
      </c>
      <c r="L28" s="72">
        <f>+'23.ROW'!L12/L23*100</f>
        <v>10.8348134991119</v>
      </c>
      <c r="M28" s="155">
        <f>+'23.ROW'!M12/M23*100</f>
        <v>1.6227180527383367</v>
      </c>
      <c r="N28" s="155">
        <f>+'23.ROW'!N12/N23*100</f>
        <v>2.0676691729323307</v>
      </c>
      <c r="O28" s="155">
        <f>+'23.ROW'!O12/O23*100</f>
        <v>6.685236768802229</v>
      </c>
      <c r="P28" s="155">
        <f>+'23.ROW'!P12/P23*100</f>
        <v>6.64819944598338</v>
      </c>
      <c r="Q28" s="155">
        <f>+'23.ROW'!Q12/Q23*100</f>
        <v>3.8348082595870205</v>
      </c>
      <c r="R28" s="155">
        <f>+'23.ROW'!R12/R23*100</f>
        <v>5.8240396530359355</v>
      </c>
      <c r="S28" s="155">
        <f>+'23.ROW'!S12/S23*100</f>
        <v>3.8095238095238098</v>
      </c>
      <c r="T28" s="155">
        <f>+'23.ROW'!T12/T23*100</f>
        <v>1.837270341207349</v>
      </c>
      <c r="U28" s="155">
        <f>+'23.ROW'!U12/U23*100</f>
        <v>4.7879616963064295</v>
      </c>
      <c r="V28" s="155">
        <f>+'23.ROW'!V12/V23*100</f>
        <v>4.823151125401929</v>
      </c>
      <c r="W28" s="155">
        <f>+'23.ROW'!W12/W23*100</f>
        <v>5.555555555555555</v>
      </c>
      <c r="X28" s="155">
        <f>+'23.ROW'!X12/X23*100</f>
        <v>6.191588785046729</v>
      </c>
      <c r="Y28" s="155">
        <f>+'23.ROW'!Y12/Y23*100</f>
        <v>2.368421052631579</v>
      </c>
      <c r="Z28" s="385">
        <f>+'23.ROW'!Z12/Z23*100</f>
        <v>-2</v>
      </c>
      <c r="AA28" s="80"/>
      <c r="AB28" s="80"/>
      <c r="AC28" s="80"/>
      <c r="AD28" s="260">
        <v>4.085667215815486</v>
      </c>
      <c r="AE28" s="384">
        <f>+'23.ROW'!AE12/AE23*100</f>
        <v>4.79309318249479</v>
      </c>
      <c r="AF28" s="312"/>
    </row>
    <row r="29" spans="4:32" s="67" customFormat="1" ht="14.25">
      <c r="D29" s="103"/>
      <c r="E29" s="103"/>
      <c r="F29" s="114"/>
      <c r="G29" s="114"/>
      <c r="H29" s="114"/>
      <c r="I29" s="103"/>
      <c r="J29" s="103"/>
      <c r="K29" s="103"/>
      <c r="L29" s="103"/>
      <c r="M29" s="155"/>
      <c r="N29" s="155"/>
      <c r="O29" s="155"/>
      <c r="P29" s="155"/>
      <c r="Q29" s="155"/>
      <c r="R29" s="155"/>
      <c r="S29" s="155"/>
      <c r="T29" s="155"/>
      <c r="U29" s="155"/>
      <c r="V29" s="155"/>
      <c r="W29" s="155"/>
      <c r="X29" s="155"/>
      <c r="Y29" s="155"/>
      <c r="Z29" s="385"/>
      <c r="AA29" s="80"/>
      <c r="AB29" s="80"/>
      <c r="AC29" s="80"/>
      <c r="AD29" s="260"/>
      <c r="AE29" s="384"/>
      <c r="AF29" s="312"/>
    </row>
    <row r="30" spans="1:32" s="67" customFormat="1" ht="15">
      <c r="A30" s="66" t="s">
        <v>133</v>
      </c>
      <c r="D30" s="103"/>
      <c r="E30" s="103"/>
      <c r="F30" s="114"/>
      <c r="G30" s="114"/>
      <c r="H30" s="114"/>
      <c r="I30" s="103"/>
      <c r="J30" s="103"/>
      <c r="K30" s="103"/>
      <c r="L30" s="103"/>
      <c r="M30" s="114"/>
      <c r="N30" s="114"/>
      <c r="O30" s="114"/>
      <c r="P30" s="114"/>
      <c r="Q30" s="114"/>
      <c r="R30" s="114"/>
      <c r="S30" s="114"/>
      <c r="T30" s="114"/>
      <c r="U30" s="114"/>
      <c r="V30" s="114"/>
      <c r="W30" s="114"/>
      <c r="X30" s="114"/>
      <c r="Y30" s="114"/>
      <c r="Z30" s="396"/>
      <c r="AA30" s="80"/>
      <c r="AB30" s="80"/>
      <c r="AC30" s="80"/>
      <c r="AD30" s="388"/>
      <c r="AE30" s="397"/>
      <c r="AF30" s="312"/>
    </row>
    <row r="31" spans="1:32" s="67" customFormat="1" ht="14.25">
      <c r="A31" s="49" t="s">
        <v>82</v>
      </c>
      <c r="D31" s="129">
        <f>+'15.Consumer'!D15+'16.Institutional'!D15+'17.Treasury'!D15+'18.Others'!D15</f>
        <v>248871</v>
      </c>
      <c r="E31" s="129">
        <f>+'15.Consumer'!E15+'16.Institutional'!E15+'17.Treasury'!E15+'18.Others'!E15</f>
        <v>252797</v>
      </c>
      <c r="F31" s="156">
        <f>+'15.Consumer'!F15+'16.Institutional'!F15+'17.Treasury'!F15+'18.Others'!F15</f>
        <v>278908</v>
      </c>
      <c r="G31" s="156">
        <v>336045</v>
      </c>
      <c r="H31" s="156"/>
      <c r="I31" s="129"/>
      <c r="J31" s="129">
        <f>+'15.Consumer'!J15+'16.Institutional'!J15+'17.Treasury'!J15+'18.Others'!J15</f>
        <v>267405</v>
      </c>
      <c r="K31" s="129">
        <f>+'15.Consumer'!K15+'16.Institutional'!K15+'17.Treasury'!K15+'18.Others'!K15</f>
        <v>257101</v>
      </c>
      <c r="L31" s="129">
        <f>+'15.Consumer'!L15+'16.Institutional'!L15+'17.Treasury'!L15+'18.Others'!L15</f>
        <v>253623</v>
      </c>
      <c r="M31" s="156">
        <f>+'15.Consumer'!M15+'16.Institutional'!M15+'17.Treasury'!M15+'18.Others'!M15</f>
        <v>252797</v>
      </c>
      <c r="N31" s="156">
        <f>+'15.Consumer'!N15+'16.Institutional'!N15+'17.Treasury'!N15+'18.Others'!N15</f>
        <v>256216</v>
      </c>
      <c r="O31" s="156">
        <f>+'15.Consumer'!O15+'16.Institutional'!O15+'17.Treasury'!O15+'18.Others'!O15</f>
        <v>271448</v>
      </c>
      <c r="P31" s="156">
        <f>+'15.Consumer'!P15+'16.Institutional'!P15+'17.Treasury'!P15+'18.Others'!P15</f>
        <v>274634</v>
      </c>
      <c r="Q31" s="156">
        <f>+'15.Consumer'!Q15+'16.Institutional'!Q15+'17.Treasury'!Q15+'18.Others'!Q15</f>
        <v>278908</v>
      </c>
      <c r="R31" s="156">
        <f>+'15.Consumer'!R15+'16.Institutional'!R15+'17.Treasury'!R15+'18.Others'!R15</f>
        <v>288135</v>
      </c>
      <c r="S31" s="156">
        <f>+'15.Consumer'!S15+'16.Institutional'!S15+'17.Treasury'!S15+'18.Others'!S15</f>
        <v>304690</v>
      </c>
      <c r="T31" s="156">
        <f>+'15.Consumer'!T15+'16.Institutional'!T15+'17.Treasury'!T15+'18.Others'!T15</f>
        <v>333839</v>
      </c>
      <c r="U31" s="156">
        <f>+'15.Consumer'!U15+'16.Institutional'!U15+'17.Treasury'!U15+'18.Others'!U15</f>
        <v>336045</v>
      </c>
      <c r="V31" s="156">
        <f>+'15.Consumer'!V15+'16.Institutional'!V15+'17.Treasury'!V15+'18.Others'!V15</f>
        <v>343478</v>
      </c>
      <c r="W31" s="156">
        <f>+'15.Consumer'!W15+'16.Institutional'!W15+'17.Treasury'!W15+'18.Others'!W15</f>
        <v>348218</v>
      </c>
      <c r="X31" s="156">
        <f>+'15.Consumer'!X15+'16.Institutional'!X15+'17.Treasury'!X15+'18.Others'!X15</f>
        <v>355800</v>
      </c>
      <c r="Y31" s="156">
        <f>+'15.Consumer'!Y15+'16.Institutional'!Y15+'17.Treasury'!Y15+'18.Others'!Y15</f>
        <v>348231</v>
      </c>
      <c r="Z31" s="412">
        <f>+'15.Consumer'!Z15+'16.Institutional'!Z15+'17.Treasury'!Z15+'18.Others'!Z15</f>
        <v>368457</v>
      </c>
      <c r="AA31" s="405"/>
      <c r="AB31" s="405"/>
      <c r="AC31" s="405"/>
      <c r="AD31" s="404">
        <v>336045</v>
      </c>
      <c r="AE31" s="413">
        <f>+'15.Consumer'!AE15+'16.Institutional'!AE15+'17.Treasury'!AE15+'18.Others'!AE15</f>
        <v>368457</v>
      </c>
      <c r="AF31" s="406"/>
    </row>
    <row r="32" spans="2:32" s="67" customFormat="1" ht="14.25">
      <c r="B32" s="67" t="s">
        <v>382</v>
      </c>
      <c r="D32" s="135">
        <f>+'15.Consumer'!D15/D31*100</f>
        <v>15.887347260227186</v>
      </c>
      <c r="E32" s="135">
        <f>+'15.Consumer'!E15/E31*100</f>
        <v>17.83802814115674</v>
      </c>
      <c r="F32" s="155">
        <f>+'15.Consumer'!F15/F31*100</f>
        <v>18.4032010555452</v>
      </c>
      <c r="G32" s="155">
        <v>16.714130547992085</v>
      </c>
      <c r="H32" s="155">
        <v>18.15806174636951</v>
      </c>
      <c r="I32" s="72"/>
      <c r="J32" s="135">
        <f>+'15.Consumer'!J15/J31*100</f>
        <v>15.012808287055215</v>
      </c>
      <c r="K32" s="135">
        <f>+'15.Consumer'!K15/K31*100</f>
        <v>15.460850016141517</v>
      </c>
      <c r="L32" s="135">
        <f>+'15.Consumer'!L15/L31*100</f>
        <v>16.442515071582626</v>
      </c>
      <c r="M32" s="155">
        <f>+'15.Consumer'!M15/M31*100</f>
        <v>17.83802814115674</v>
      </c>
      <c r="N32" s="155">
        <f>+'15.Consumer'!N15/N31*100</f>
        <v>18.265447903331562</v>
      </c>
      <c r="O32" s="155">
        <f>+'15.Consumer'!O15/O31*100</f>
        <v>18.14233296985058</v>
      </c>
      <c r="P32" s="155">
        <f>+'15.Consumer'!P15/P31*100</f>
        <v>18.09899721083333</v>
      </c>
      <c r="Q32" s="155">
        <f>+'15.Consumer'!Q15/Q31*100</f>
        <v>18.4032010555452</v>
      </c>
      <c r="R32" s="155">
        <f>+'15.Consumer'!R15/R31*100</f>
        <v>18.05785482499523</v>
      </c>
      <c r="S32" s="155">
        <f>+'15.Consumer'!S15/S31*100</f>
        <v>17.260494272867504</v>
      </c>
      <c r="T32" s="155">
        <f>+'15.Consumer'!T15/T31*100</f>
        <v>16.45703467839288</v>
      </c>
      <c r="U32" s="155">
        <f>+'15.Consumer'!U15/U31*100</f>
        <v>16.714130547992085</v>
      </c>
      <c r="V32" s="155">
        <f>+'15.Consumer'!V15/V31*100</f>
        <v>17.092215513075075</v>
      </c>
      <c r="W32" s="155">
        <f>+'15.Consumer'!W15/W31*100</f>
        <v>17.47296233968376</v>
      </c>
      <c r="X32" s="155">
        <f>+'15.Consumer'!X15/X31*100</f>
        <v>17.342608206857786</v>
      </c>
      <c r="Y32" s="155">
        <f>+'15.Consumer'!Y15/Y31*100</f>
        <v>18.15806174636951</v>
      </c>
      <c r="Z32" s="385">
        <f>+'15.Consumer'!Z15/Z31*100</f>
        <v>17.732326974382357</v>
      </c>
      <c r="AA32" s="80"/>
      <c r="AB32" s="80"/>
      <c r="AC32" s="80"/>
      <c r="AD32" s="260">
        <v>16.714130547992085</v>
      </c>
      <c r="AE32" s="384">
        <f>+'15.Consumer'!AE15/AE31*100</f>
        <v>17.732326974382357</v>
      </c>
      <c r="AF32" s="313"/>
    </row>
    <row r="33" spans="2:32" s="67" customFormat="1" ht="14.25">
      <c r="B33" s="67" t="s">
        <v>130</v>
      </c>
      <c r="D33" s="135">
        <f>+'16.Institutional'!D15/D31*100</f>
        <v>40.19311209421749</v>
      </c>
      <c r="E33" s="135">
        <f>+'16.Institutional'!E15/E31*100</f>
        <v>39.81415918701567</v>
      </c>
      <c r="F33" s="155">
        <f>+'16.Institutional'!F15/F31*100</f>
        <v>42.51294333615386</v>
      </c>
      <c r="G33" s="155">
        <v>49.37731553809758</v>
      </c>
      <c r="H33" s="155">
        <v>50.84929256729011</v>
      </c>
      <c r="I33" s="72"/>
      <c r="J33" s="135">
        <f>+'16.Institutional'!J15/J31*100</f>
        <v>38.81901983882126</v>
      </c>
      <c r="K33" s="135">
        <f>+'16.Institutional'!K15/K31*100</f>
        <v>39.36196280839048</v>
      </c>
      <c r="L33" s="135">
        <f>+'16.Institutional'!L15/L31*100</f>
        <v>39.60918370967933</v>
      </c>
      <c r="M33" s="155">
        <f>+'16.Institutional'!M15/M31*100</f>
        <v>39.81415918701567</v>
      </c>
      <c r="N33" s="155">
        <f>+'16.Institutional'!N15/N31*100</f>
        <v>39.325412932837914</v>
      </c>
      <c r="O33" s="155">
        <f>+'16.Institutional'!O15/O31*100</f>
        <v>41.99478353128407</v>
      </c>
      <c r="P33" s="155">
        <f>+'16.Institutional'!P15/P31*100</f>
        <v>42.015919369051176</v>
      </c>
      <c r="Q33" s="155">
        <f>+'16.Institutional'!Q15/Q31*100</f>
        <v>42.51294333615386</v>
      </c>
      <c r="R33" s="155">
        <f>+'16.Institutional'!R15/R31*100</f>
        <v>43.55944262238187</v>
      </c>
      <c r="S33" s="155">
        <f>+'16.Institutional'!S15/S31*100</f>
        <v>44.3385079917293</v>
      </c>
      <c r="T33" s="155">
        <f>+'16.Institutional'!T15/T31*100</f>
        <v>47.215573974281014</v>
      </c>
      <c r="U33" s="155">
        <f>+'16.Institutional'!U15/U31*100</f>
        <v>49.37731553809758</v>
      </c>
      <c r="V33" s="155">
        <f>+'16.Institutional'!V15/V31*100</f>
        <v>48.24821385940293</v>
      </c>
      <c r="W33" s="155">
        <f>+'16.Institutional'!W15/W31*100</f>
        <v>49.495431023094724</v>
      </c>
      <c r="X33" s="155">
        <f>+'16.Institutional'!X15/X31*100</f>
        <v>47.65879707700956</v>
      </c>
      <c r="Y33" s="155">
        <f>+'16.Institutional'!Y15/Y31*100</f>
        <v>50.348475580864424</v>
      </c>
      <c r="Z33" s="385">
        <f>+'16.Institutional'!Z15/Z31*100</f>
        <v>51.306936766026965</v>
      </c>
      <c r="AA33" s="80"/>
      <c r="AB33" s="80"/>
      <c r="AC33" s="80"/>
      <c r="AD33" s="260">
        <v>49.37731553809758</v>
      </c>
      <c r="AE33" s="384">
        <f>+'16.Institutional'!AE15/AE31*100</f>
        <v>51.306936766026965</v>
      </c>
      <c r="AF33" s="313"/>
    </row>
    <row r="34" spans="2:32" s="67" customFormat="1" ht="14.25">
      <c r="B34" s="67" t="s">
        <v>333</v>
      </c>
      <c r="D34" s="135">
        <f>+'17.Treasury'!D15/D31*100</f>
        <v>40.822353749532894</v>
      </c>
      <c r="E34" s="135">
        <f>+'17.Treasury'!E15/E31*100</f>
        <v>38.750064280826116</v>
      </c>
      <c r="F34" s="155">
        <f>+'17.Treasury'!F15/F31*100</f>
        <v>35.40056219255095</v>
      </c>
      <c r="G34" s="155">
        <v>30.918478180005653</v>
      </c>
      <c r="H34" s="155">
        <v>21.662057657129893</v>
      </c>
      <c r="I34" s="72"/>
      <c r="J34" s="135">
        <f>+'17.Treasury'!J15/J31*100</f>
        <v>42.28716740524672</v>
      </c>
      <c r="K34" s="135">
        <f>+'17.Treasury'!K15/K31*100</f>
        <v>41.370123025581385</v>
      </c>
      <c r="L34" s="135">
        <f>+'17.Treasury'!L15/L31*100</f>
        <v>39.68449233705145</v>
      </c>
      <c r="M34" s="155">
        <f>+'17.Treasury'!M15/M31*100</f>
        <v>38.750064280826116</v>
      </c>
      <c r="N34" s="155">
        <f>+'17.Treasury'!N15/N31*100</f>
        <v>38.41836575389515</v>
      </c>
      <c r="O34" s="155">
        <f>+'17.Treasury'!O15/O31*100</f>
        <v>36.86046682974271</v>
      </c>
      <c r="P34" s="155">
        <f>+'17.Treasury'!P15/P31*100</f>
        <v>36.27045449580169</v>
      </c>
      <c r="Q34" s="155">
        <f>+'17.Treasury'!Q15/Q31*100</f>
        <v>35.40056219255095</v>
      </c>
      <c r="R34" s="155">
        <f>+'17.Treasury'!R15/R31*100</f>
        <v>33.54538671109029</v>
      </c>
      <c r="S34" s="155">
        <f>+'17.Treasury'!S15/S31*100</f>
        <v>33.57675013948603</v>
      </c>
      <c r="T34" s="155">
        <f>+'17.Treasury'!T15/T31*100</f>
        <v>32.94552164366656</v>
      </c>
      <c r="U34" s="155">
        <f>+'17.Treasury'!U15/U31*100</f>
        <v>30.918478180005653</v>
      </c>
      <c r="V34" s="155">
        <f>+'17.Treasury'!V15/V31*100</f>
        <v>23.26058728652199</v>
      </c>
      <c r="W34" s="155">
        <f>+'17.Treasury'!W15/W31*100</f>
        <v>22.680619611852347</v>
      </c>
      <c r="X34" s="155">
        <f>+'17.Treasury'!X15/X31*100</f>
        <v>23.23102866779089</v>
      </c>
      <c r="Y34" s="155">
        <f>+'17.Treasury'!Y15/Y31*100</f>
        <v>21.662057657129893</v>
      </c>
      <c r="Z34" s="385">
        <f>+'17.Treasury'!Z15/Z31*100</f>
        <v>21.186461378125536</v>
      </c>
      <c r="AA34" s="80"/>
      <c r="AB34" s="80"/>
      <c r="AC34" s="80"/>
      <c r="AD34" s="260">
        <v>30.918478180005653</v>
      </c>
      <c r="AE34" s="384">
        <f>+'17.Treasury'!AE15/AE31*100</f>
        <v>21.186461378125536</v>
      </c>
      <c r="AF34" s="313"/>
    </row>
    <row r="35" spans="2:32" s="67" customFormat="1" ht="14.25">
      <c r="B35" s="67" t="s">
        <v>35</v>
      </c>
      <c r="D35" s="135">
        <f>+'18.Others'!D15/D31*100</f>
        <v>3.0971868960224374</v>
      </c>
      <c r="E35" s="135">
        <f>+'18.Others'!E15/E31*100</f>
        <v>3.5977483910014754</v>
      </c>
      <c r="F35" s="155">
        <f>+'18.Others'!F15/F31*100</f>
        <v>3.683293415749996</v>
      </c>
      <c r="G35" s="155">
        <v>2.9900757339046855</v>
      </c>
      <c r="H35" s="155">
        <v>9.330588029210496</v>
      </c>
      <c r="I35" s="136"/>
      <c r="J35" s="135">
        <f>+'18.Others'!J15/J31*100</f>
        <v>3.8810044688767977</v>
      </c>
      <c r="K35" s="135">
        <f>+'18.Others'!K15/K31*100</f>
        <v>3.807064149886621</v>
      </c>
      <c r="L35" s="135">
        <f>+'18.Others'!L15/L31*100</f>
        <v>4.2638088816865976</v>
      </c>
      <c r="M35" s="155">
        <f>+'18.Others'!M15/M31*100</f>
        <v>3.5977483910014754</v>
      </c>
      <c r="N35" s="155">
        <f>+'18.Others'!N15/N31*100</f>
        <v>3.9907734099353673</v>
      </c>
      <c r="O35" s="155">
        <f>+'18.Others'!O15/O31*100</f>
        <v>3.0024166691226313</v>
      </c>
      <c r="P35" s="155">
        <f>+'18.Others'!P15/P31*100</f>
        <v>3.614628924313814</v>
      </c>
      <c r="Q35" s="155">
        <f>+'18.Others'!Q15/Q31*100</f>
        <v>3.683293415749996</v>
      </c>
      <c r="R35" s="155">
        <f>+'18.Others'!R15/R31*100</f>
        <v>4.8373158415326145</v>
      </c>
      <c r="S35" s="155">
        <f>+'18.Others'!S15/S31*100</f>
        <v>4.824247595917162</v>
      </c>
      <c r="T35" s="155">
        <f>+'18.Others'!T15/T31*100</f>
        <v>3.3818697036595484</v>
      </c>
      <c r="U35" s="155">
        <f>+'18.Others'!U15/U31*100</f>
        <v>2.9900757339046855</v>
      </c>
      <c r="V35" s="155">
        <f>+'18.Others'!V15/V31*100</f>
        <v>11.398983341000006</v>
      </c>
      <c r="W35" s="155">
        <f>+'18.Others'!W15/W31*100</f>
        <v>10.350987025369166</v>
      </c>
      <c r="X35" s="155">
        <f>+'18.Others'!X15/X31*100</f>
        <v>11.767566048341765</v>
      </c>
      <c r="Y35" s="155">
        <f>+'18.Others'!Y15/Y31*100</f>
        <v>9.831405015636173</v>
      </c>
      <c r="Z35" s="385">
        <f>+'18.Others'!Z15/Z31*100</f>
        <v>9.774274881465136</v>
      </c>
      <c r="AA35" s="80"/>
      <c r="AB35" s="80"/>
      <c r="AC35" s="80"/>
      <c r="AD35" s="260">
        <v>2.9900757339046855</v>
      </c>
      <c r="AE35" s="384">
        <f>+'18.Others'!AE15/AE31*100</f>
        <v>9.774274881465136</v>
      </c>
      <c r="AF35" s="312"/>
    </row>
    <row r="36" spans="1:32" s="67" customFormat="1" ht="14.25">
      <c r="A36" s="58" t="s">
        <v>81</v>
      </c>
      <c r="D36" s="129">
        <f>+'19.S''pore'!D16+'20.HK'!D16+'21.GreaterChina'!D16+'22.SSEA'!D16+'23.ROW'!D16</f>
        <v>250871</v>
      </c>
      <c r="E36" s="129">
        <f>+'19.S''pore'!E16+'20.HK'!E16+'21.GreaterChina'!E16+'22.SSEA'!E16+'23.ROW'!E16</f>
        <v>252797</v>
      </c>
      <c r="F36" s="156">
        <f>+'19.S''pore'!F16+'20.HK'!F16+'21.GreaterChina'!F16+'22.SSEA'!F16+'23.ROW'!F16</f>
        <v>278908</v>
      </c>
      <c r="G36" s="156">
        <v>336045</v>
      </c>
      <c r="H36" s="156"/>
      <c r="I36" s="129"/>
      <c r="J36" s="129">
        <f>+'19.S''pore'!J16+'20.HK'!J16+'21.GreaterChina'!J16+'22.SSEA'!J16+'23.ROW'!J16</f>
        <v>267405</v>
      </c>
      <c r="K36" s="129">
        <f>+'19.S''pore'!K16+'20.HK'!K16+'21.GreaterChina'!K16+'22.SSEA'!K16+'23.ROW'!K16</f>
        <v>257101</v>
      </c>
      <c r="L36" s="129">
        <f>+'19.S''pore'!L16+'20.HK'!L16+'21.GreaterChina'!L16+'22.SSEA'!L16+'23.ROW'!L16</f>
        <v>253623</v>
      </c>
      <c r="M36" s="156">
        <f>+'19.S''pore'!M16+'20.HK'!M16+'21.GreaterChina'!M16+'22.SSEA'!M16+'23.ROW'!M16</f>
        <v>252797</v>
      </c>
      <c r="N36" s="156">
        <f>+'19.S''pore'!N16+'20.HK'!N16+'21.GreaterChina'!N16+'22.SSEA'!N16+'23.ROW'!N16</f>
        <v>256216</v>
      </c>
      <c r="O36" s="156">
        <f>+'19.S''pore'!O16+'20.HK'!O16+'21.GreaterChina'!O16+'22.SSEA'!O16+'23.ROW'!O16</f>
        <v>271448</v>
      </c>
      <c r="P36" s="156">
        <f>+'19.S''pore'!P16+'20.HK'!P16+'21.GreaterChina'!P16+'22.SSEA'!P16+'23.ROW'!P16</f>
        <v>274634</v>
      </c>
      <c r="Q36" s="156">
        <f>+'19.S''pore'!Q16+'20.HK'!Q16+'21.GreaterChina'!Q16+'22.SSEA'!Q16+'23.ROW'!Q16</f>
        <v>278908</v>
      </c>
      <c r="R36" s="156">
        <f>+'19.S''pore'!R16+'20.HK'!R16+'21.GreaterChina'!R16+'22.SSEA'!R16+'23.ROW'!R16</f>
        <v>288135</v>
      </c>
      <c r="S36" s="156">
        <f>+'19.S''pore'!S16+'20.HK'!S16+'21.GreaterChina'!S16+'22.SSEA'!S16+'23.ROW'!S16</f>
        <v>304690</v>
      </c>
      <c r="T36" s="156">
        <f>+'19.S''pore'!T16+'20.HK'!T16+'21.GreaterChina'!T16+'22.SSEA'!T16+'23.ROW'!T16</f>
        <v>333839</v>
      </c>
      <c r="U36" s="156">
        <f>+'19.S''pore'!U16+'20.HK'!U16+'21.GreaterChina'!U16+'22.SSEA'!U16+'23.ROW'!U16</f>
        <v>336045</v>
      </c>
      <c r="V36" s="156">
        <f>+'19.S''pore'!V16+'20.HK'!V16+'21.GreaterChina'!V16+'22.SSEA'!V16+'23.ROW'!V16</f>
        <v>343478</v>
      </c>
      <c r="W36" s="156">
        <f>+'19.S''pore'!W16+'20.HK'!W16+'21.GreaterChina'!W16+'22.SSEA'!W16+'23.ROW'!W16</f>
        <v>348218</v>
      </c>
      <c r="X36" s="156">
        <f>+'19.S''pore'!X16+'20.HK'!X16+'21.GreaterChina'!X16+'22.SSEA'!X16+'23.ROW'!X16</f>
        <v>355800</v>
      </c>
      <c r="Y36" s="156">
        <f>+'19.S''pore'!Y16+'20.HK'!Y16+'21.GreaterChina'!Y16+'22.SSEA'!Y16+'23.ROW'!Y16</f>
        <v>348231</v>
      </c>
      <c r="Z36" s="412">
        <f>+'19.S''pore'!Z16+'20.HK'!Z16+'21.GreaterChina'!Z16+'22.SSEA'!Z16+'23.ROW'!Z16</f>
        <v>368457</v>
      </c>
      <c r="AA36" s="405"/>
      <c r="AB36" s="405"/>
      <c r="AC36" s="405"/>
      <c r="AD36" s="404">
        <v>336045</v>
      </c>
      <c r="AE36" s="413">
        <f>+'19.S''pore'!AE16+'20.HK'!AE16+'21.GreaterChina'!AE16+'22.SSEA'!AE16+'23.ROW'!AE16</f>
        <v>368457</v>
      </c>
      <c r="AF36" s="406"/>
    </row>
    <row r="37" spans="2:32" s="67" customFormat="1" ht="14.25">
      <c r="B37" s="67" t="s">
        <v>48</v>
      </c>
      <c r="D37" s="72">
        <f>+'19.S''pore'!D16/D36*100</f>
        <v>67.81652721916842</v>
      </c>
      <c r="E37" s="72">
        <f>+'19.S''pore'!E16/E36*100</f>
        <v>65.52767635691879</v>
      </c>
      <c r="F37" s="155">
        <f>+'19.S''pore'!F16/F36*100</f>
        <v>64.47036298707818</v>
      </c>
      <c r="G37" s="155">
        <v>61.708997306908294</v>
      </c>
      <c r="H37" s="155">
        <v>64.80698157257683</v>
      </c>
      <c r="I37" s="72"/>
      <c r="J37" s="135">
        <f>+'19.S''pore'!J16/J36*100</f>
        <v>67.67936276434622</v>
      </c>
      <c r="K37" s="135">
        <f>+'19.S''pore'!K16/K36*100</f>
        <v>65.95462483615388</v>
      </c>
      <c r="L37" s="135">
        <f>+'19.S''pore'!L16/L36*100</f>
        <v>65.34935711666529</v>
      </c>
      <c r="M37" s="155">
        <f>+'19.S''pore'!M16/M36*100</f>
        <v>65.52767635691879</v>
      </c>
      <c r="N37" s="155">
        <f>+'19.S''pore'!N16/N36*100</f>
        <v>63.76650950760296</v>
      </c>
      <c r="O37" s="155">
        <f>+'19.S''pore'!O16/O36*100</f>
        <v>63.5816067902508</v>
      </c>
      <c r="P37" s="155">
        <f>+'19.S''pore'!P16/P36*100</f>
        <v>64.31213906508299</v>
      </c>
      <c r="Q37" s="155">
        <f>+'19.S''pore'!Q16/Q36*100</f>
        <v>64.47036298707818</v>
      </c>
      <c r="R37" s="155">
        <f>+'19.S''pore'!R16/R36*100</f>
        <v>63.867284432644425</v>
      </c>
      <c r="S37" s="155">
        <f>+'19.S''pore'!S16/S36*100</f>
        <v>64.39364600085332</v>
      </c>
      <c r="T37" s="155">
        <f>+'19.S''pore'!T16/T36*100</f>
        <v>61.871141478377304</v>
      </c>
      <c r="U37" s="155">
        <f>+'19.S''pore'!U16/U36*100</f>
        <v>63.08738413010162</v>
      </c>
      <c r="V37" s="155">
        <f>+'19.S''pore'!V16/V36*100</f>
        <v>64.59540349017988</v>
      </c>
      <c r="W37" s="155">
        <f>+'19.S''pore'!W16/W36*100</f>
        <v>64.48000964912785</v>
      </c>
      <c r="X37" s="155">
        <f>+'19.S''pore'!X16/X36*100</f>
        <v>66.45952782462057</v>
      </c>
      <c r="Y37" s="155">
        <f>+'19.S''pore'!Y16/Y36*100</f>
        <v>64.80698157257683</v>
      </c>
      <c r="Z37" s="385">
        <f>+'19.S''pore'!Z16/Z36*100</f>
        <v>64.9679609832355</v>
      </c>
      <c r="AA37" s="80"/>
      <c r="AB37" s="80"/>
      <c r="AC37" s="80"/>
      <c r="AD37" s="260">
        <v>61.708997306908294</v>
      </c>
      <c r="AE37" s="384">
        <f>+'19.S''pore'!AE16/AE36*100</f>
        <v>64.9679609832355</v>
      </c>
      <c r="AF37" s="312"/>
    </row>
    <row r="38" spans="2:32" s="67" customFormat="1" ht="14.25">
      <c r="B38" s="67" t="s">
        <v>49</v>
      </c>
      <c r="D38" s="72">
        <f>+'20.HK'!D16/D36*100</f>
        <v>17.58632922896628</v>
      </c>
      <c r="E38" s="72">
        <f>+'20.HK'!E16/E36*100</f>
        <v>18.850302812137805</v>
      </c>
      <c r="F38" s="155">
        <f>+'20.HK'!F16/F36*100</f>
        <v>18.819467351241272</v>
      </c>
      <c r="G38" s="155">
        <v>20.384472317695547</v>
      </c>
      <c r="H38" s="155">
        <v>16.246973991402257</v>
      </c>
      <c r="I38" s="72"/>
      <c r="J38" s="135">
        <f>+'20.HK'!J16/J36*100</f>
        <v>17.267066808773208</v>
      </c>
      <c r="K38" s="135">
        <f>+'20.HK'!K16/K36*100</f>
        <v>18.185071236595736</v>
      </c>
      <c r="L38" s="135">
        <f>+'20.HK'!L16/L36*100</f>
        <v>18.66628815209977</v>
      </c>
      <c r="M38" s="155">
        <f>+'20.HK'!M16/M36*100</f>
        <v>18.850302812137805</v>
      </c>
      <c r="N38" s="155">
        <f>+'20.HK'!N16/N36*100</f>
        <v>19.404721016642206</v>
      </c>
      <c r="O38" s="155">
        <f>+'20.HK'!O16/O36*100</f>
        <v>20.04803866670596</v>
      </c>
      <c r="P38" s="155">
        <f>+'20.HK'!P16/P36*100</f>
        <v>19.35266572966202</v>
      </c>
      <c r="Q38" s="155">
        <f>+'20.HK'!Q16/Q36*100</f>
        <v>18.819467351241272</v>
      </c>
      <c r="R38" s="155">
        <f>+'20.HK'!R16/R36*100</f>
        <v>18.720391483158934</v>
      </c>
      <c r="S38" s="155">
        <f>+'20.HK'!S16/S36*100</f>
        <v>18.089861826774754</v>
      </c>
      <c r="T38" s="155">
        <f>+'20.HK'!T16/T36*100</f>
        <v>20.11418677865678</v>
      </c>
      <c r="U38" s="155">
        <f>+'20.HK'!U16/U36*100</f>
        <v>19.006085494502226</v>
      </c>
      <c r="V38" s="155">
        <f>+'20.HK'!V16/V36*100</f>
        <v>17.54115256290068</v>
      </c>
      <c r="W38" s="155">
        <f>+'20.HK'!W16/W36*100</f>
        <v>17.280554135627682</v>
      </c>
      <c r="X38" s="155">
        <f>+'20.HK'!X16/X36*100</f>
        <v>15.991849353569421</v>
      </c>
      <c r="Y38" s="155">
        <f>+'20.HK'!Y16/Y36*100</f>
        <v>16.246973991402257</v>
      </c>
      <c r="Z38" s="385">
        <f>+'20.HK'!Z16/Z36*100</f>
        <v>16.24694333395756</v>
      </c>
      <c r="AA38" s="80"/>
      <c r="AB38" s="80"/>
      <c r="AC38" s="80"/>
      <c r="AD38" s="260">
        <v>20.384472317695547</v>
      </c>
      <c r="AE38" s="384">
        <f>+'20.HK'!AE16/AE36*100</f>
        <v>16.24694333395756</v>
      </c>
      <c r="AF38" s="312"/>
    </row>
    <row r="39" spans="2:32" s="67" customFormat="1" ht="14.25">
      <c r="B39" s="67" t="s">
        <v>73</v>
      </c>
      <c r="D39" s="72">
        <f>+'21.GreaterChina'!D16/D36*100</f>
        <v>6.602197942368787</v>
      </c>
      <c r="E39" s="72">
        <f>+'21.GreaterChina'!E16/E36*100</f>
        <v>5.681238305834325</v>
      </c>
      <c r="F39" s="155">
        <f>+'21.GreaterChina'!F16/F36*100</f>
        <v>7.541196380168371</v>
      </c>
      <c r="G39" s="155">
        <v>9.308574744453868</v>
      </c>
      <c r="H39" s="155">
        <v>10.14183114082319</v>
      </c>
      <c r="I39" s="72"/>
      <c r="J39" s="135">
        <f>+'21.GreaterChina'!J16/J36*100</f>
        <v>5.399300686225014</v>
      </c>
      <c r="K39" s="135">
        <f>+'21.GreaterChina'!K16/K36*100</f>
        <v>5.358983434525731</v>
      </c>
      <c r="L39" s="135">
        <f>+'21.GreaterChina'!L16/L36*100</f>
        <v>5.923358685923595</v>
      </c>
      <c r="M39" s="155">
        <f>+'21.GreaterChina'!M16/M36*100</f>
        <v>5.681238305834325</v>
      </c>
      <c r="N39" s="155">
        <f>+'21.GreaterChina'!N16/N36*100</f>
        <v>6.137009398320167</v>
      </c>
      <c r="O39" s="155">
        <f>+'21.GreaterChina'!O16/O36*100</f>
        <v>6.253131354808287</v>
      </c>
      <c r="P39" s="155">
        <f>+'21.GreaterChina'!P16/P36*100</f>
        <v>6.867685719903581</v>
      </c>
      <c r="Q39" s="155">
        <f>+'21.GreaterChina'!Q16/Q36*100</f>
        <v>7.541196380168371</v>
      </c>
      <c r="R39" s="155">
        <f>+'21.GreaterChina'!R16/R36*100</f>
        <v>8.016034150658545</v>
      </c>
      <c r="S39" s="155">
        <f>+'21.GreaterChina'!S16/S36*100</f>
        <v>8.443664051987266</v>
      </c>
      <c r="T39" s="155">
        <f>+'21.GreaterChina'!T16/T36*100</f>
        <v>9.304185550519861</v>
      </c>
      <c r="U39" s="155">
        <f>+'21.GreaterChina'!U16/U36*100</f>
        <v>9.308574744453868</v>
      </c>
      <c r="V39" s="155">
        <f>+'21.GreaterChina'!V16/V36*100</f>
        <v>8.845107983626317</v>
      </c>
      <c r="W39" s="155">
        <f>+'21.GreaterChina'!W16/W36*100</f>
        <v>9.646543257384742</v>
      </c>
      <c r="X39" s="155">
        <f>+'21.GreaterChina'!X16/X36*100</f>
        <v>9.15317594154019</v>
      </c>
      <c r="Y39" s="155">
        <f>+'21.GreaterChina'!Y16/Y36*100</f>
        <v>10.14183114082319</v>
      </c>
      <c r="Z39" s="385">
        <f>+'21.GreaterChina'!Z16/Z36*100</f>
        <v>10.492404812501865</v>
      </c>
      <c r="AA39" s="80"/>
      <c r="AB39" s="80"/>
      <c r="AC39" s="80"/>
      <c r="AD39" s="260">
        <v>9.308574744453868</v>
      </c>
      <c r="AE39" s="384">
        <f>+'21.GreaterChina'!AE16/AE36*100</f>
        <v>10.492404812501865</v>
      </c>
      <c r="AF39" s="312"/>
    </row>
    <row r="40" spans="2:32" s="67" customFormat="1" ht="14.25">
      <c r="B40" s="67" t="s">
        <v>93</v>
      </c>
      <c r="D40" s="72">
        <f>+'22.SSEA'!D16/D36*100</f>
        <v>3.941866536985144</v>
      </c>
      <c r="E40" s="72">
        <f>+'22.SSEA'!E16/E36*100</f>
        <v>5.040803490547752</v>
      </c>
      <c r="F40" s="155">
        <f>+'22.SSEA'!F16/F36*100</f>
        <v>4.915599409124156</v>
      </c>
      <c r="G40" s="155">
        <v>4.827924831495782</v>
      </c>
      <c r="H40" s="155">
        <v>4.841613756385847</v>
      </c>
      <c r="I40" s="72"/>
      <c r="J40" s="135">
        <f>+'22.SSEA'!J16/J36*100</f>
        <v>4.823395224472242</v>
      </c>
      <c r="K40" s="135">
        <f>+'22.SSEA'!K16/K36*100</f>
        <v>5.150894006635524</v>
      </c>
      <c r="L40" s="135">
        <f>+'22.SSEA'!L16/L36*100</f>
        <v>4.997969427063003</v>
      </c>
      <c r="M40" s="155">
        <f>+'22.SSEA'!M16/M36*100</f>
        <v>5.040803490547752</v>
      </c>
      <c r="N40" s="155">
        <f>+'22.SSEA'!N16/N36*100</f>
        <v>5.586302182533488</v>
      </c>
      <c r="O40" s="155">
        <f>+'22.SSEA'!O16/O36*100</f>
        <v>5.284253337655831</v>
      </c>
      <c r="P40" s="155">
        <f>+'22.SSEA'!P16/P36*100</f>
        <v>5.139567569929433</v>
      </c>
      <c r="Q40" s="155">
        <f>+'22.SSEA'!Q16/Q36*100</f>
        <v>4.915599409124156</v>
      </c>
      <c r="R40" s="155">
        <f>+'22.SSEA'!R16/R36*100</f>
        <v>4.9782220139865</v>
      </c>
      <c r="S40" s="155">
        <f>+'22.SSEA'!S16/S36*100</f>
        <v>4.972923299090879</v>
      </c>
      <c r="T40" s="155">
        <f>+'22.SSEA'!T16/T36*100</f>
        <v>4.915842666674655</v>
      </c>
      <c r="U40" s="155">
        <f>+'22.SSEA'!U16/U36*100</f>
        <v>4.827924831495782</v>
      </c>
      <c r="V40" s="155">
        <f>+'22.SSEA'!V16/V36*100</f>
        <v>5.011674692411159</v>
      </c>
      <c r="W40" s="155">
        <f>+'22.SSEA'!W16/W36*100</f>
        <v>5.005485069697718</v>
      </c>
      <c r="X40" s="155">
        <f>+'22.SSEA'!X16/X36*100</f>
        <v>4.869870713884204</v>
      </c>
      <c r="Y40" s="155">
        <f>+'22.SSEA'!Y16/Y36*100</f>
        <v>4.841613756385847</v>
      </c>
      <c r="Z40" s="385">
        <f>+'22.SSEA'!Z16/Z36*100</f>
        <v>4.755778829008541</v>
      </c>
      <c r="AA40" s="80"/>
      <c r="AB40" s="80"/>
      <c r="AC40" s="80"/>
      <c r="AD40" s="260">
        <v>4.827924831495782</v>
      </c>
      <c r="AE40" s="384">
        <f>+'22.SSEA'!AE16/AE36*100</f>
        <v>4.755778829008541</v>
      </c>
      <c r="AF40" s="312"/>
    </row>
    <row r="41" spans="2:32" s="67" customFormat="1" ht="14.25">
      <c r="B41" s="67" t="s">
        <v>75</v>
      </c>
      <c r="D41" s="72">
        <f>+'23.ROW'!D16/D36*100</f>
        <v>4.053079072511371</v>
      </c>
      <c r="E41" s="72">
        <f>+'23.ROW'!E16/E36*100</f>
        <v>4.899979034561327</v>
      </c>
      <c r="F41" s="155">
        <f>+'23.ROW'!F16/F36*100</f>
        <v>4.253373872388027</v>
      </c>
      <c r="G41" s="155">
        <v>3.7700307994465025</v>
      </c>
      <c r="H41" s="155">
        <v>3.9625995388118804</v>
      </c>
      <c r="I41" s="72"/>
      <c r="J41" s="135">
        <f>+'23.ROW'!J16/J36*100</f>
        <v>4.830874516183317</v>
      </c>
      <c r="K41" s="135">
        <f>+'23.ROW'!K16/K36*100</f>
        <v>5.350426486089124</v>
      </c>
      <c r="L41" s="135">
        <f>+'23.ROW'!L16/L36*100</f>
        <v>5.063026618248346</v>
      </c>
      <c r="M41" s="155">
        <f>+'23.ROW'!M16/M36*100</f>
        <v>4.899979034561327</v>
      </c>
      <c r="N41" s="155">
        <f>+'23.ROW'!N16/N36*100</f>
        <v>5.105457894901177</v>
      </c>
      <c r="O41" s="155">
        <f>+'23.ROW'!O16/O36*100</f>
        <v>4.832969850579117</v>
      </c>
      <c r="P41" s="155">
        <f>+'23.ROW'!P16/P36*100</f>
        <v>4.32794191542198</v>
      </c>
      <c r="Q41" s="155">
        <f>+'23.ROW'!Q16/Q36*100</f>
        <v>4.253373872388027</v>
      </c>
      <c r="R41" s="155">
        <f>+'23.ROW'!R16/R36*100</f>
        <v>4.418067919551599</v>
      </c>
      <c r="S41" s="155">
        <f>+'23.ROW'!S16/S36*100</f>
        <v>4.099904821293774</v>
      </c>
      <c r="T41" s="155">
        <f>+'23.ROW'!T16/T36*100</f>
        <v>3.7946435257714044</v>
      </c>
      <c r="U41" s="155">
        <f>+'23.ROW'!U16/U36*100</f>
        <v>3.7700307994465025</v>
      </c>
      <c r="V41" s="155">
        <f>+'23.ROW'!V16/V36*100</f>
        <v>4.006661270881978</v>
      </c>
      <c r="W41" s="155">
        <f>+'23.ROW'!W16/W36*100</f>
        <v>3.5874078881620135</v>
      </c>
      <c r="X41" s="155">
        <f>+'23.ROW'!X16/X36*100</f>
        <v>3.5255761663856098</v>
      </c>
      <c r="Y41" s="155">
        <f>+'23.ROW'!Y16/Y36*100</f>
        <v>3.9625995388118804</v>
      </c>
      <c r="Z41" s="385">
        <f>+'23.ROW'!Z16/Z36*100</f>
        <v>3.5369120412965422</v>
      </c>
      <c r="AA41" s="80"/>
      <c r="AB41" s="80"/>
      <c r="AC41" s="80"/>
      <c r="AD41" s="260">
        <v>3.7700307994465025</v>
      </c>
      <c r="AE41" s="384">
        <f>+'23.ROW'!AE16/AE36*100</f>
        <v>3.5369120412965422</v>
      </c>
      <c r="AF41" s="312"/>
    </row>
    <row r="42" spans="4:31" s="67" customFormat="1" ht="14.25">
      <c r="D42" s="103"/>
      <c r="E42" s="103"/>
      <c r="F42" s="114"/>
      <c r="G42" s="114"/>
      <c r="H42" s="114"/>
      <c r="I42" s="103"/>
      <c r="J42" s="103"/>
      <c r="K42" s="103"/>
      <c r="L42" s="103"/>
      <c r="M42" s="114"/>
      <c r="N42" s="114"/>
      <c r="O42" s="114"/>
      <c r="P42" s="114"/>
      <c r="Q42" s="114"/>
      <c r="R42" s="114"/>
      <c r="S42" s="114"/>
      <c r="T42" s="114"/>
      <c r="U42" s="114"/>
      <c r="V42" s="114"/>
      <c r="W42" s="114"/>
      <c r="X42" s="114"/>
      <c r="Y42" s="114"/>
      <c r="Z42" s="396"/>
      <c r="AA42" s="80"/>
      <c r="AB42" s="80"/>
      <c r="AC42" s="80"/>
      <c r="AD42" s="388"/>
      <c r="AE42" s="397"/>
    </row>
    <row r="43" spans="26:31" ht="12.75">
      <c r="Z43" s="401"/>
      <c r="AA43" s="241"/>
      <c r="AB43" s="241"/>
      <c r="AC43" s="241"/>
      <c r="AD43" s="402"/>
      <c r="AE43" s="403"/>
    </row>
    <row r="44" spans="26:31" ht="12.75">
      <c r="Z44" s="401"/>
      <c r="AA44" s="241"/>
      <c r="AB44" s="241"/>
      <c r="AC44" s="241"/>
      <c r="AD44" s="402"/>
      <c r="AE44" s="403"/>
    </row>
    <row r="45" spans="26:31" ht="12.75">
      <c r="Z45" s="401"/>
      <c r="AA45" s="241"/>
      <c r="AB45" s="241"/>
      <c r="AC45" s="241"/>
      <c r="AD45" s="402"/>
      <c r="AE45" s="403"/>
    </row>
    <row r="46" spans="26:31" ht="12.75">
      <c r="Z46" s="401"/>
      <c r="AA46" s="241"/>
      <c r="AB46" s="241"/>
      <c r="AC46" s="241"/>
      <c r="AD46" s="402"/>
      <c r="AE46" s="403"/>
    </row>
    <row r="47" spans="26:31" ht="12.75">
      <c r="Z47" s="368"/>
      <c r="AE47" s="369"/>
    </row>
    <row r="48" spans="26:31" ht="12.75">
      <c r="Z48" s="368"/>
      <c r="AE48" s="369"/>
    </row>
    <row r="49" spans="26:31" ht="12.75">
      <c r="Z49" s="368"/>
      <c r="AE49" s="369"/>
    </row>
    <row r="50" spans="26:31" ht="12.75">
      <c r="Z50" s="368"/>
      <c r="AE50" s="369"/>
    </row>
    <row r="51" spans="26:31" ht="12.75">
      <c r="Z51" s="368"/>
      <c r="AE51" s="369"/>
    </row>
    <row r="52" spans="26:31" ht="12.75">
      <c r="Z52" s="368"/>
      <c r="AE52" s="369"/>
    </row>
    <row r="53" spans="26:31" ht="12.75">
      <c r="Z53" s="368"/>
      <c r="AE53" s="369"/>
    </row>
    <row r="54" spans="26:31" ht="12.75">
      <c r="Z54" s="368"/>
      <c r="AE54" s="369"/>
    </row>
    <row r="55" spans="26:31" ht="12.75">
      <c r="Z55" s="368"/>
      <c r="AE55" s="369"/>
    </row>
    <row r="56" spans="26:31" ht="12.75">
      <c r="Z56" s="368"/>
      <c r="AE56" s="369"/>
    </row>
    <row r="57" spans="1:31" ht="12.75">
      <c r="A57" s="241" t="s">
        <v>431</v>
      </c>
      <c r="B57" s="241"/>
      <c r="Z57" s="368"/>
      <c r="AE57" s="369"/>
    </row>
    <row r="58" spans="1:31" ht="12.75">
      <c r="A58" s="241" t="s">
        <v>436</v>
      </c>
      <c r="Z58" s="368"/>
      <c r="AE58" s="138"/>
    </row>
    <row r="59" spans="26:31" ht="12.75">
      <c r="Z59" s="368"/>
      <c r="AE59" s="138"/>
    </row>
    <row r="60" spans="26:31" ht="12.75">
      <c r="Z60" s="368"/>
      <c r="AE60" s="138"/>
    </row>
    <row r="61" spans="26:31" ht="12.75">
      <c r="Z61" s="368"/>
      <c r="AE61" s="138"/>
    </row>
    <row r="62" spans="26:31" ht="12.75">
      <c r="Z62" s="368"/>
      <c r="AE62" s="138"/>
    </row>
    <row r="63" spans="26:31" ht="12.75">
      <c r="Z63" s="368"/>
      <c r="AE63" s="138"/>
    </row>
    <row r="64" spans="26:31" ht="12.75">
      <c r="Z64" s="368"/>
      <c r="AE64" s="138"/>
    </row>
    <row r="65" spans="26:31" ht="12.75">
      <c r="Z65" s="368"/>
      <c r="AE65" s="138"/>
    </row>
    <row r="66" spans="26:31" ht="12.75">
      <c r="Z66" s="368"/>
      <c r="AE66" s="138"/>
    </row>
    <row r="67" spans="26:31" ht="12.75">
      <c r="Z67" s="368"/>
      <c r="AE67" s="138"/>
    </row>
    <row r="68" spans="26:31" ht="12.75">
      <c r="Z68" s="368"/>
      <c r="AE68" s="138"/>
    </row>
    <row r="69" spans="26:31" ht="12.75">
      <c r="Z69" s="368"/>
      <c r="AE69" s="138"/>
    </row>
    <row r="70" spans="26:31" ht="12.75">
      <c r="Z70" s="368"/>
      <c r="AE70" s="138"/>
    </row>
    <row r="71" spans="26:31" ht="12.75">
      <c r="Z71" s="368"/>
      <c r="AE71" s="138"/>
    </row>
    <row r="72" spans="26:31" ht="12.75">
      <c r="Z72" s="368"/>
      <c r="AE72" s="138"/>
    </row>
    <row r="73" spans="26:31" ht="12.75">
      <c r="Z73" s="368"/>
      <c r="AE73" s="138"/>
    </row>
    <row r="74" spans="26:31" ht="12.75">
      <c r="Z74" s="368"/>
      <c r="AE74" s="138"/>
    </row>
    <row r="75" spans="26:31" ht="12.75">
      <c r="Z75" s="368"/>
      <c r="AE75" s="138"/>
    </row>
    <row r="76" spans="26:31" ht="12.75">
      <c r="Z76" s="368"/>
      <c r="AE76" s="138"/>
    </row>
    <row r="77" spans="26:31" ht="12.75">
      <c r="Z77" s="368"/>
      <c r="AE77" s="138"/>
    </row>
    <row r="78" spans="26:31" ht="12.75">
      <c r="Z78" s="368"/>
      <c r="AE78" s="138"/>
    </row>
    <row r="79" spans="26:31" ht="12.75">
      <c r="Z79" s="368"/>
      <c r="AE79" s="138"/>
    </row>
    <row r="80" spans="26:31" ht="12.75">
      <c r="Z80" s="368"/>
      <c r="AE80" s="138"/>
    </row>
    <row r="81" spans="26:31" ht="12.75">
      <c r="Z81" s="278"/>
      <c r="AE81" s="138"/>
    </row>
    <row r="82" spans="26:31" ht="12.75">
      <c r="Z82" s="278"/>
      <c r="AE82" s="138"/>
    </row>
    <row r="83" spans="26:31" ht="12.75">
      <c r="Z83" s="278"/>
      <c r="AE83" s="138"/>
    </row>
    <row r="84" spans="26:31" ht="12.75">
      <c r="Z84" s="278"/>
      <c r="AE84" s="138"/>
    </row>
    <row r="85" spans="26:31" ht="12.75">
      <c r="Z85" s="278"/>
      <c r="AE85" s="138"/>
    </row>
    <row r="86" spans="26:31" ht="12.75">
      <c r="Z86" s="278"/>
      <c r="AE86" s="138"/>
    </row>
    <row r="87" spans="26:31" ht="12.75">
      <c r="Z87" s="278"/>
      <c r="AE87" s="138"/>
    </row>
    <row r="88" spans="26:31" ht="12.75">
      <c r="Z88" s="278"/>
      <c r="AE88" s="138"/>
    </row>
    <row r="89" spans="26:31" ht="12.75">
      <c r="Z89" s="278"/>
      <c r="AE89" s="138"/>
    </row>
    <row r="90" spans="26:31" ht="12.75">
      <c r="Z90" s="278"/>
      <c r="AE90" s="138"/>
    </row>
    <row r="91" spans="26:31" ht="12.75">
      <c r="Z91" s="278"/>
      <c r="AE91" s="138"/>
    </row>
    <row r="92" spans="26:31" ht="12.75">
      <c r="Z92" s="278"/>
      <c r="AE92" s="138"/>
    </row>
    <row r="93" spans="26:31" ht="12.75">
      <c r="Z93" s="278"/>
      <c r="AE93" s="138"/>
    </row>
    <row r="94" spans="26:31" ht="12.75">
      <c r="Z94" s="278"/>
      <c r="AE94" s="138"/>
    </row>
    <row r="95" spans="26:31" ht="12.75">
      <c r="Z95" s="278"/>
      <c r="AE95" s="138"/>
    </row>
    <row r="96" spans="26:31" ht="12.75">
      <c r="Z96" s="278"/>
      <c r="AE96" s="138"/>
    </row>
    <row r="97" spans="26:31" ht="12.75">
      <c r="Z97" s="278"/>
      <c r="AE97" s="138"/>
    </row>
    <row r="98" spans="26:31" ht="12.75">
      <c r="Z98" s="278"/>
      <c r="AE98" s="138"/>
    </row>
    <row r="99" spans="26:31" ht="12.75">
      <c r="Z99" s="278"/>
      <c r="AE99" s="138"/>
    </row>
    <row r="100" spans="26:31" ht="12.75">
      <c r="Z100" s="278"/>
      <c r="AE100" s="138"/>
    </row>
    <row r="101" spans="26:31" ht="12.75">
      <c r="Z101" s="278"/>
      <c r="AE101" s="138"/>
    </row>
    <row r="102" spans="26:31" ht="12.75">
      <c r="Z102" s="278"/>
      <c r="AE102" s="138"/>
    </row>
    <row r="103" spans="26:31" ht="12.75">
      <c r="Z103" s="278"/>
      <c r="AE103" s="138"/>
    </row>
    <row r="104" spans="26:31" ht="12.75">
      <c r="Z104" s="278"/>
      <c r="AE104" s="138"/>
    </row>
    <row r="105" spans="26:31" ht="12.75">
      <c r="Z105" s="278"/>
      <c r="AE105" s="138"/>
    </row>
    <row r="106" spans="26:31" ht="12.75">
      <c r="Z106" s="278"/>
      <c r="AE106" s="138"/>
    </row>
    <row r="107" spans="26:31" ht="12.75">
      <c r="Z107" s="278"/>
      <c r="AE107" s="138"/>
    </row>
    <row r="108" spans="26:31" ht="12.75">
      <c r="Z108" s="278"/>
      <c r="AE108" s="138"/>
    </row>
    <row r="109" spans="26:31" ht="12.75">
      <c r="Z109" s="278"/>
      <c r="AE109" s="138"/>
    </row>
    <row r="110" spans="26:31" ht="12.75">
      <c r="Z110" s="278"/>
      <c r="AE110" s="138"/>
    </row>
    <row r="111" spans="26:31" ht="12.75">
      <c r="Z111" s="278"/>
      <c r="AE111" s="138"/>
    </row>
    <row r="112" spans="26:31" ht="12.75">
      <c r="Z112" s="278"/>
      <c r="AE112" s="138"/>
    </row>
    <row r="113" spans="26:31" ht="12.75">
      <c r="Z113" s="278"/>
      <c r="AE113" s="138"/>
    </row>
    <row r="114" spans="26:31" ht="12.75">
      <c r="Z114" s="278"/>
      <c r="AE114" s="138"/>
    </row>
    <row r="115" spans="26:31" ht="12.75">
      <c r="Z115" s="278"/>
      <c r="AE115" s="138"/>
    </row>
    <row r="116" spans="26:31" ht="12.75">
      <c r="Z116" s="278"/>
      <c r="AE116" s="138"/>
    </row>
    <row r="117" spans="26:31" ht="12.75">
      <c r="Z117" s="278"/>
      <c r="AE117" s="138"/>
    </row>
    <row r="118" spans="26:31" ht="12.75">
      <c r="Z118" s="278"/>
      <c r="AE118" s="138"/>
    </row>
    <row r="119" spans="26:31" ht="12.75">
      <c r="Z119" s="278"/>
      <c r="AE119" s="138"/>
    </row>
    <row r="120" spans="26:31" ht="12.75">
      <c r="Z120" s="278"/>
      <c r="AE120" s="138"/>
    </row>
    <row r="121" spans="26:31" ht="12.75">
      <c r="Z121" s="278"/>
      <c r="AE121" s="138"/>
    </row>
    <row r="122" spans="26:31" ht="12.75">
      <c r="Z122" s="278"/>
      <c r="AE122" s="138"/>
    </row>
    <row r="123" spans="26:31" ht="12.75">
      <c r="Z123" s="278"/>
      <c r="AE123" s="138"/>
    </row>
  </sheetData>
  <sheetProtection/>
  <mergeCells count="1">
    <mergeCell ref="A2:C2"/>
  </mergeCells>
  <hyperlinks>
    <hyperlink ref="A2" location="Index!A1" display="Back to Index"/>
  </hyperlinks>
  <printOptions/>
  <pageMargins left="0.75" right="0.75" top="0.77" bottom="0.77" header="0.5" footer="0.5"/>
  <pageSetup fitToHeight="1" fitToWidth="1" horizontalDpi="600" verticalDpi="600" orientation="landscape" scale="99" r:id="rId1"/>
</worksheet>
</file>

<file path=xl/worksheets/sheet16.xml><?xml version="1.0" encoding="utf-8"?>
<worksheet xmlns="http://schemas.openxmlformats.org/spreadsheetml/2006/main" xmlns:r="http://schemas.openxmlformats.org/officeDocument/2006/relationships">
  <sheetPr>
    <tabColor indexed="12"/>
    <pageSetUpPr fitToPage="1"/>
  </sheetPr>
  <dimension ref="A1:AH38"/>
  <sheetViews>
    <sheetView zoomScale="80" zoomScaleNormal="80" zoomScalePageLayoutView="0" workbookViewId="0" topLeftCell="A1">
      <pane xSplit="3" ySplit="2" topLeftCell="O3" activePane="bottomRight" state="frozen"/>
      <selection pane="topLeft" activeCell="P25" sqref="P25"/>
      <selection pane="topRight" activeCell="P25" sqref="P25"/>
      <selection pane="bottomLeft" activeCell="P25" sqref="P25"/>
      <selection pane="bottomRight" activeCell="W22" sqref="W22"/>
    </sheetView>
  </sheetViews>
  <sheetFormatPr defaultColWidth="9.140625" defaultRowHeight="12.75" outlineLevelCol="1"/>
  <cols>
    <col min="1" max="1" width="4.00390625" style="20" customWidth="1"/>
    <col min="2" max="2" width="4.28125" style="20" customWidth="1"/>
    <col min="3" max="3" width="32.28125" style="5" customWidth="1"/>
    <col min="4" max="4" width="9.8515625" style="126" hidden="1" customWidth="1" outlineLevel="1"/>
    <col min="5" max="8" width="10.00390625" style="121" hidden="1" customWidth="1" outlineLevel="1"/>
    <col min="9" max="9" width="2.7109375" style="121" hidden="1" customWidth="1" outlineLevel="1"/>
    <col min="10" max="10" width="9.8515625" style="121" hidden="1" customWidth="1" outlineLevel="1"/>
    <col min="11" max="17" width="10.00390625" style="121" hidden="1" customWidth="1" outlineLevel="1"/>
    <col min="18" max="19" width="10.00390625" style="121" hidden="1" customWidth="1" outlineLevel="1" collapsed="1"/>
    <col min="20" max="21" width="10.00390625" style="121" hidden="1" customWidth="1" outlineLevel="1"/>
    <col min="22" max="22" width="10.00390625" style="121" customWidth="1" collapsed="1"/>
    <col min="23" max="25" width="10.00390625" style="121" customWidth="1"/>
    <col min="26" max="26" width="10.00390625" style="122" customWidth="1"/>
    <col min="27" max="27" width="10.00390625" style="121" customWidth="1"/>
    <col min="28" max="28" width="8.00390625" style="121" customWidth="1"/>
    <col min="29" max="29" width="2.8515625" style="121" customWidth="1"/>
    <col min="30" max="30" width="10.00390625" style="121" hidden="1" customWidth="1"/>
    <col min="31" max="31" width="10.00390625" style="122" hidden="1" customWidth="1"/>
    <col min="32" max="32" width="8.57421875" style="121" hidden="1" customWidth="1"/>
    <col min="33" max="16384" width="9.140625" style="20" customWidth="1"/>
  </cols>
  <sheetData>
    <row r="1" spans="1:32" s="42" customFormat="1" ht="20.25">
      <c r="A1" s="41" t="s">
        <v>382</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47" t="s">
        <v>103</v>
      </c>
      <c r="B3" s="31"/>
      <c r="D3" s="8"/>
      <c r="E3" s="17"/>
      <c r="F3" s="17"/>
      <c r="G3" s="17"/>
      <c r="H3" s="17"/>
      <c r="I3" s="17"/>
      <c r="J3" s="17"/>
      <c r="K3" s="17"/>
      <c r="L3" s="17"/>
      <c r="M3" s="17"/>
      <c r="N3" s="17"/>
      <c r="O3" s="17"/>
      <c r="P3" s="17"/>
      <c r="Q3" s="17"/>
      <c r="R3" s="17"/>
      <c r="S3" s="17"/>
      <c r="T3" s="17"/>
      <c r="U3" s="17"/>
      <c r="V3" s="17"/>
      <c r="W3" s="17"/>
      <c r="X3" s="17"/>
      <c r="Y3" s="17"/>
      <c r="Z3" s="125"/>
      <c r="AA3" s="17"/>
      <c r="AB3" s="17"/>
      <c r="AC3" s="17"/>
      <c r="AD3" s="17"/>
      <c r="AE3" s="125"/>
      <c r="AF3" s="17"/>
    </row>
    <row r="4" spans="2:32" ht="12.75" customHeight="1">
      <c r="B4" s="100" t="s">
        <v>5</v>
      </c>
      <c r="C4" s="20"/>
      <c r="D4" s="121">
        <v>1635</v>
      </c>
      <c r="E4" s="121">
        <v>1399</v>
      </c>
      <c r="F4" s="121">
        <v>1398</v>
      </c>
      <c r="G4" s="121">
        <v>1446</v>
      </c>
      <c r="H4" s="121">
        <v>1427</v>
      </c>
      <c r="I4" s="160"/>
      <c r="J4" s="121">
        <v>333</v>
      </c>
      <c r="K4" s="121">
        <v>337</v>
      </c>
      <c r="L4" s="121">
        <v>360</v>
      </c>
      <c r="M4" s="121">
        <v>369</v>
      </c>
      <c r="N4" s="121">
        <v>359</v>
      </c>
      <c r="O4" s="121">
        <v>353</v>
      </c>
      <c r="P4" s="121">
        <v>338</v>
      </c>
      <c r="Q4" s="121">
        <v>348</v>
      </c>
      <c r="R4" s="121">
        <v>342</v>
      </c>
      <c r="S4" s="121">
        <v>375</v>
      </c>
      <c r="T4" s="121">
        <v>350</v>
      </c>
      <c r="U4" s="121">
        <v>379</v>
      </c>
      <c r="V4" s="121">
        <v>367</v>
      </c>
      <c r="W4" s="121">
        <v>356</v>
      </c>
      <c r="X4" s="121">
        <v>356</v>
      </c>
      <c r="Y4" s="121">
        <v>348</v>
      </c>
      <c r="Z4" s="122">
        <v>359</v>
      </c>
      <c r="AA4" s="121">
        <f>IF(AND(Z4=0,Y4=0),0,IF(OR(AND(Z4&gt;0,Y4&lt;=0),AND(Z4&lt;0,Y4&gt;=0)),"nm",IF(AND(Z4&lt;0,Y4&lt;0),IF(-(Z4/Y4-1)*100&lt;-100,"(&gt;100)",-(Z4/Y4-1)*100),IF((Z4/Y4-1)*100&gt;100,"&gt;100",(Z4/Y4-1)*100))))</f>
        <v>3.1609195402298784</v>
      </c>
      <c r="AB4" s="121">
        <f>IF(AND(Z4=0,V4=0),0,IF(OR(AND(Z4&gt;0,V4&lt;=0),AND(Z4&lt;0,V4&gt;=0)),"nm",IF(AND(Z4&lt;0,V4&lt;0),IF(-(Z4/V4-1)*100&lt;-100,"(&gt;100)",-(Z4/V4-1)*100),IF((Z4/V4-1)*100&gt;100,"&gt;100",(Z4/V4-1)*100))))</f>
        <v>-2.1798365122615793</v>
      </c>
      <c r="AD4" s="121">
        <v>1446</v>
      </c>
      <c r="AE4" s="122">
        <v>1427</v>
      </c>
      <c r="AF4" s="121">
        <f>IF(AND(AE4=0,AD4=0),0,IF(OR(AND(AE4&gt;0,AD4&lt;=0),AND(AE4&lt;0,AD4&gt;=0)),"nm",IF(AND(AE4&lt;0,AD4&lt;0),IF(-(AE4/AD4-1)*100&lt;-100,"(&gt;100)",-(AE4/AD4-1)*100),IF((AE4/AD4-1)*100&gt;100,"&gt;100",(AE4/AD4-1)*100))))</f>
        <v>-1.3139695712309774</v>
      </c>
    </row>
    <row r="5" spans="2:32" ht="14.25">
      <c r="B5" s="100" t="s">
        <v>25</v>
      </c>
      <c r="C5" s="20"/>
      <c r="D5" s="121">
        <v>665</v>
      </c>
      <c r="E5" s="121">
        <v>609</v>
      </c>
      <c r="F5" s="121">
        <v>667</v>
      </c>
      <c r="G5" s="121">
        <v>758</v>
      </c>
      <c r="H5" s="121">
        <v>873</v>
      </c>
      <c r="I5" s="160"/>
      <c r="J5" s="121">
        <v>142</v>
      </c>
      <c r="K5" s="121">
        <v>151</v>
      </c>
      <c r="L5" s="121">
        <v>161</v>
      </c>
      <c r="M5" s="121">
        <v>156</v>
      </c>
      <c r="N5" s="121">
        <v>157</v>
      </c>
      <c r="O5" s="121">
        <v>168</v>
      </c>
      <c r="P5" s="121">
        <v>164</v>
      </c>
      <c r="Q5" s="121">
        <v>178</v>
      </c>
      <c r="R5" s="121">
        <v>171</v>
      </c>
      <c r="S5" s="121">
        <v>187</v>
      </c>
      <c r="T5" s="121">
        <v>196</v>
      </c>
      <c r="U5" s="121">
        <v>204</v>
      </c>
      <c r="V5" s="121">
        <v>236</v>
      </c>
      <c r="W5" s="121">
        <v>210</v>
      </c>
      <c r="X5" s="121">
        <v>213</v>
      </c>
      <c r="Y5" s="121">
        <v>214</v>
      </c>
      <c r="Z5" s="122">
        <v>263</v>
      </c>
      <c r="AA5" s="121">
        <f aca="true" t="shared" si="0" ref="AA5:AA10">IF(AND(Z5=0,Y5=0),0,IF(OR(AND(Z5&gt;0,Y5&lt;=0),AND(Z5&lt;0,Y5&gt;=0)),"nm",IF(AND(Z5&lt;0,Y5&lt;0),IF(-(Z5/Y5-1)*100&lt;-100,"(&gt;100)",-(Z5/Y5-1)*100),IF((Z5/Y5-1)*100&gt;100,"&gt;100",(Z5/Y5-1)*100))))</f>
        <v>22.89719626168225</v>
      </c>
      <c r="AB5" s="121">
        <f aca="true" t="shared" si="1" ref="AB5:AB10">IF(AND(Z5=0,V5=0),0,IF(OR(AND(Z5&gt;0,V5&lt;=0),AND(Z5&lt;0,V5&gt;=0)),"nm",IF(AND(Z5&lt;0,V5&lt;0),IF(-(Z5/V5-1)*100&lt;-100,"(&gt;100)",-(Z5/V5-1)*100),IF((Z5/V5-1)*100&gt;100,"&gt;100",(Z5/V5-1)*100))))</f>
        <v>11.440677966101687</v>
      </c>
      <c r="AD5" s="121">
        <v>758</v>
      </c>
      <c r="AE5" s="122">
        <v>873</v>
      </c>
      <c r="AF5" s="121">
        <f>IF(AND(AE5=0,AD5=0),0,IF(OR(AND(AE5&gt;0,AD5&lt;=0),AND(AE5&lt;0,AD5&gt;=0)),"nm",IF(AND(AE5&lt;0,AD5&lt;0),IF(-(AE5/AD5-1)*100&lt;-100,"(&gt;100)",-(AE5/AD5-1)*100),IF((AE5/AD5-1)*100&gt;100,"&gt;100",(AE5/AD5-1)*100))))</f>
        <v>15.171503957783639</v>
      </c>
    </row>
    <row r="6" spans="2:32" ht="14.25">
      <c r="B6" s="101" t="s">
        <v>6</v>
      </c>
      <c r="C6" s="20"/>
      <c r="D6" s="121">
        <v>2300</v>
      </c>
      <c r="E6" s="121">
        <v>2008</v>
      </c>
      <c r="F6" s="121">
        <v>2065</v>
      </c>
      <c r="G6" s="121">
        <v>2204</v>
      </c>
      <c r="H6" s="121">
        <v>2300</v>
      </c>
      <c r="I6" s="160"/>
      <c r="J6" s="121">
        <f aca="true" t="shared" si="2" ref="J6:O6">J4+J5</f>
        <v>475</v>
      </c>
      <c r="K6" s="121">
        <f t="shared" si="2"/>
        <v>488</v>
      </c>
      <c r="L6" s="121">
        <f t="shared" si="2"/>
        <v>521</v>
      </c>
      <c r="M6" s="121">
        <f t="shared" si="2"/>
        <v>525</v>
      </c>
      <c r="N6" s="121">
        <f t="shared" si="2"/>
        <v>516</v>
      </c>
      <c r="O6" s="121">
        <f t="shared" si="2"/>
        <v>521</v>
      </c>
      <c r="P6" s="121">
        <v>502</v>
      </c>
      <c r="Q6" s="121">
        <v>526</v>
      </c>
      <c r="R6" s="121">
        <v>513</v>
      </c>
      <c r="S6" s="121">
        <v>562</v>
      </c>
      <c r="T6" s="121">
        <v>546</v>
      </c>
      <c r="U6" s="121">
        <v>583</v>
      </c>
      <c r="V6" s="121">
        <v>603</v>
      </c>
      <c r="W6" s="121">
        <v>566</v>
      </c>
      <c r="X6" s="121">
        <v>569</v>
      </c>
      <c r="Y6" s="121">
        <v>562</v>
      </c>
      <c r="Z6" s="122">
        <v>622</v>
      </c>
      <c r="AA6" s="121">
        <f>IF(AND(Z6=0,Y6=0),0,IF(OR(AND(Z6&gt;0,Y6&lt;=0),AND(Z6&lt;0,Y6&gt;=0)),"nm",IF(AND(Z6&lt;0,Y6&lt;0),IF(-(Z6/Y6-1)*100&lt;-100,"(&gt;100)",-(Z6/Y6-1)*100),IF((Z6/Y6-1)*100&gt;100,"&gt;100",(Z6/Y6-1)*100))))</f>
        <v>10.676156583629904</v>
      </c>
      <c r="AB6" s="121">
        <f>IF(AND(Z6=0,V6=0),0,IF(OR(AND(Z6&gt;0,V6&lt;=0),AND(Z6&lt;0,V6&gt;=0)),"nm",IF(AND(Z6&lt;0,V6&lt;0),IF(-(Z6/V6-1)*100&lt;-100,"(&gt;100)",-(Z6/V6-1)*100),IF((Z6/V6-1)*100&gt;100,"&gt;100",(Z6/V6-1)*100))))</f>
        <v>3.1509121061359835</v>
      </c>
      <c r="AD6" s="121">
        <v>2204</v>
      </c>
      <c r="AE6" s="122">
        <f>AE4+AE5</f>
        <v>2300</v>
      </c>
      <c r="AF6" s="121">
        <f aca="true" t="shared" si="3" ref="AF6:AF11">IF(AND(AE6=0,AD6=0),0,IF(OR(AND(AE6&gt;0,AD6&lt;=0),AND(AE6&lt;0,AD6&gt;=0)),"nm",IF(AND(AE6&lt;0,AD6&lt;0),IF(-(AE6/AD6-1)*100&lt;-100,"(&gt;100)",-(AE6/AD6-1)*100),IF((AE6/AD6-1)*100&gt;100,"&gt;100",(AE6/AD6-1)*100))))</f>
        <v>4.355716878402904</v>
      </c>
    </row>
    <row r="7" spans="2:32" ht="14.25">
      <c r="B7" s="101" t="s">
        <v>0</v>
      </c>
      <c r="C7" s="20"/>
      <c r="D7" s="121">
        <v>1295</v>
      </c>
      <c r="E7" s="121">
        <v>1245</v>
      </c>
      <c r="F7" s="121">
        <v>1471</v>
      </c>
      <c r="G7" s="121">
        <v>1561</v>
      </c>
      <c r="H7" s="121">
        <v>1602</v>
      </c>
      <c r="I7" s="160"/>
      <c r="J7" s="121">
        <v>272</v>
      </c>
      <c r="K7" s="121">
        <v>291</v>
      </c>
      <c r="L7" s="121">
        <v>295</v>
      </c>
      <c r="M7" s="121">
        <v>387</v>
      </c>
      <c r="N7" s="121">
        <v>350</v>
      </c>
      <c r="O7" s="121">
        <v>363</v>
      </c>
      <c r="P7" s="121">
        <v>357</v>
      </c>
      <c r="Q7" s="121">
        <v>401</v>
      </c>
      <c r="R7" s="121">
        <v>364</v>
      </c>
      <c r="S7" s="121">
        <v>377</v>
      </c>
      <c r="T7" s="121">
        <v>391</v>
      </c>
      <c r="U7" s="121">
        <v>429</v>
      </c>
      <c r="V7" s="121">
        <v>363</v>
      </c>
      <c r="W7" s="121">
        <v>387</v>
      </c>
      <c r="X7" s="121">
        <v>407</v>
      </c>
      <c r="Y7" s="121">
        <v>445</v>
      </c>
      <c r="Z7" s="122">
        <v>400</v>
      </c>
      <c r="AA7" s="121">
        <f t="shared" si="0"/>
        <v>-10.1123595505618</v>
      </c>
      <c r="AB7" s="121">
        <f t="shared" si="1"/>
        <v>10.192837465564741</v>
      </c>
      <c r="AD7" s="121">
        <v>1561</v>
      </c>
      <c r="AE7" s="122">
        <v>1602</v>
      </c>
      <c r="AF7" s="121">
        <f t="shared" si="3"/>
        <v>2.6265214606021825</v>
      </c>
    </row>
    <row r="8" spans="2:32" ht="14.25">
      <c r="B8" s="101" t="s">
        <v>8</v>
      </c>
      <c r="C8" s="20"/>
      <c r="D8" s="121">
        <v>195</v>
      </c>
      <c r="E8" s="121">
        <v>82</v>
      </c>
      <c r="F8" s="121">
        <v>55</v>
      </c>
      <c r="G8" s="121">
        <v>71</v>
      </c>
      <c r="H8" s="121">
        <v>93</v>
      </c>
      <c r="I8" s="160"/>
      <c r="J8" s="121">
        <v>35</v>
      </c>
      <c r="K8" s="121">
        <v>38</v>
      </c>
      <c r="L8" s="121">
        <v>18</v>
      </c>
      <c r="M8" s="121">
        <v>-9</v>
      </c>
      <c r="N8" s="121">
        <v>12</v>
      </c>
      <c r="O8" s="121">
        <v>23</v>
      </c>
      <c r="P8" s="121">
        <v>15</v>
      </c>
      <c r="Q8" s="121">
        <v>5</v>
      </c>
      <c r="R8" s="121">
        <v>16</v>
      </c>
      <c r="S8" s="121">
        <v>26</v>
      </c>
      <c r="T8" s="121">
        <v>14</v>
      </c>
      <c r="U8" s="121">
        <v>15</v>
      </c>
      <c r="V8" s="121">
        <v>21</v>
      </c>
      <c r="W8" s="121">
        <v>26</v>
      </c>
      <c r="X8" s="121">
        <v>28</v>
      </c>
      <c r="Y8" s="121">
        <v>18</v>
      </c>
      <c r="Z8" s="122">
        <v>18</v>
      </c>
      <c r="AA8" s="121">
        <f t="shared" si="0"/>
        <v>0</v>
      </c>
      <c r="AB8" s="121">
        <f t="shared" si="1"/>
        <v>-14.28571428571429</v>
      </c>
      <c r="AD8" s="121">
        <v>71</v>
      </c>
      <c r="AE8" s="122">
        <v>93</v>
      </c>
      <c r="AF8" s="121">
        <f t="shared" si="3"/>
        <v>30.98591549295775</v>
      </c>
    </row>
    <row r="9" spans="2:32" ht="14.25">
      <c r="B9" s="102" t="s">
        <v>67</v>
      </c>
      <c r="C9" s="20"/>
      <c r="D9" s="121">
        <v>0</v>
      </c>
      <c r="E9" s="121">
        <v>0</v>
      </c>
      <c r="F9" s="121">
        <v>0</v>
      </c>
      <c r="G9" s="121">
        <v>0</v>
      </c>
      <c r="H9" s="121">
        <v>0</v>
      </c>
      <c r="I9" s="160"/>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2">
        <v>0</v>
      </c>
      <c r="AA9" s="121">
        <f t="shared" si="0"/>
        <v>0</v>
      </c>
      <c r="AB9" s="121">
        <f t="shared" si="1"/>
        <v>0</v>
      </c>
      <c r="AD9" s="121">
        <v>0</v>
      </c>
      <c r="AE9" s="122">
        <v>0</v>
      </c>
      <c r="AF9" s="121">
        <f>IF(AND(AE9=0,AD9=0),0,IF(OR(AND(AE9&gt;0,AD9&lt;=0),AND(AE9&lt;0,AD9&gt;=0)),"nm",IF(AND(AE9&lt;0,AD9&lt;0),IF(-(AE9/AD9-1)*100&lt;-100,"(&gt;100)",-(AE9/AD9-1)*100),IF((AE9/AD9-1)*100&gt;100,"&gt;100",(AE9/AD9-1)*100))))</f>
        <v>0</v>
      </c>
    </row>
    <row r="10" spans="2:32" ht="14.25">
      <c r="B10" s="102" t="s">
        <v>9</v>
      </c>
      <c r="C10" s="20"/>
      <c r="D10" s="121">
        <v>810</v>
      </c>
      <c r="E10" s="121">
        <v>681</v>
      </c>
      <c r="F10" s="121">
        <v>539</v>
      </c>
      <c r="G10" s="121">
        <v>572</v>
      </c>
      <c r="H10" s="121">
        <v>605</v>
      </c>
      <c r="I10" s="160"/>
      <c r="J10" s="121">
        <f aca="true" t="shared" si="4" ref="J10:O10">J6-J7-J8+J9</f>
        <v>168</v>
      </c>
      <c r="K10" s="121">
        <f t="shared" si="4"/>
        <v>159</v>
      </c>
      <c r="L10" s="121">
        <f t="shared" si="4"/>
        <v>208</v>
      </c>
      <c r="M10" s="121">
        <f t="shared" si="4"/>
        <v>147</v>
      </c>
      <c r="N10" s="121">
        <f t="shared" si="4"/>
        <v>154</v>
      </c>
      <c r="O10" s="121">
        <f t="shared" si="4"/>
        <v>135</v>
      </c>
      <c r="P10" s="121">
        <v>130</v>
      </c>
      <c r="Q10" s="121">
        <v>120</v>
      </c>
      <c r="R10" s="121">
        <v>133</v>
      </c>
      <c r="S10" s="121">
        <v>159</v>
      </c>
      <c r="T10" s="121">
        <v>141</v>
      </c>
      <c r="U10" s="121">
        <v>139</v>
      </c>
      <c r="V10" s="121">
        <v>219</v>
      </c>
      <c r="W10" s="121">
        <v>153</v>
      </c>
      <c r="X10" s="121">
        <v>134</v>
      </c>
      <c r="Y10" s="121">
        <v>99</v>
      </c>
      <c r="Z10" s="122">
        <v>204</v>
      </c>
      <c r="AA10" s="121" t="str">
        <f t="shared" si="0"/>
        <v>&gt;100</v>
      </c>
      <c r="AB10" s="121">
        <f t="shared" si="1"/>
        <v>-6.849315068493156</v>
      </c>
      <c r="AD10" s="121">
        <v>572</v>
      </c>
      <c r="AE10" s="122">
        <f>AE6-AE7-AE8+AE9</f>
        <v>605</v>
      </c>
      <c r="AF10" s="121">
        <f t="shared" si="3"/>
        <v>5.769230769230771</v>
      </c>
    </row>
    <row r="11" spans="2:34" ht="14.25" hidden="1">
      <c r="B11" s="102" t="s">
        <v>68</v>
      </c>
      <c r="C11" s="20"/>
      <c r="D11" s="121">
        <v>138</v>
      </c>
      <c r="E11" s="121">
        <v>109</v>
      </c>
      <c r="F11" s="121">
        <v>81</v>
      </c>
      <c r="G11" s="121">
        <v>0</v>
      </c>
      <c r="H11" s="121">
        <v>0</v>
      </c>
      <c r="I11" s="160"/>
      <c r="J11" s="121">
        <v>26</v>
      </c>
      <c r="K11" s="121">
        <v>27</v>
      </c>
      <c r="L11" s="121">
        <v>33</v>
      </c>
      <c r="M11" s="121">
        <v>23</v>
      </c>
      <c r="N11" s="121">
        <v>23</v>
      </c>
      <c r="O11" s="121">
        <v>21</v>
      </c>
      <c r="P11" s="121">
        <v>20</v>
      </c>
      <c r="Q11" s="121">
        <v>17</v>
      </c>
      <c r="R11" s="121">
        <v>19</v>
      </c>
      <c r="Z11" s="477"/>
      <c r="AA11" s="121">
        <f>IF(AND(Z11=0,R11=0),0,IF(OR(AND(Z11&gt;0,R11&lt;=0),AND(Z11&lt;0,R11&gt;=0)),"nm",IF(AND(Z11&lt;0,R11&lt;0),IF(-(Z11/R11-1)*100&lt;-100,"(&gt;100)",-(Z11/R11-1)*100),IF((Z11/R11-1)*100&gt;100,"&gt;100",(Z11/R11-1)*100))))</f>
        <v>-100</v>
      </c>
      <c r="AB11" s="121">
        <f>IF(AND(Z11=0,O11=0),0,IF(OR(AND(Z11&gt;0,O11&lt;=0),AND(Z11&lt;0,O11&gt;=0)),"nm",IF(AND(Z11&lt;0,O11&lt;0),IF(-(Z11/O11-1)*100&lt;-100,"(&gt;100)",-(Z11/O11-1)*100),IF((Z11/O11-1)*100&gt;100,"&gt;100",(Z11/O11-1)*100))))</f>
        <v>-100</v>
      </c>
      <c r="AD11" s="121">
        <v>0</v>
      </c>
      <c r="AE11" s="143"/>
      <c r="AF11" s="121">
        <f t="shared" si="3"/>
        <v>0</v>
      </c>
      <c r="AH11" s="20" t="s">
        <v>359</v>
      </c>
    </row>
    <row r="12" spans="2:34" ht="14.25" hidden="1">
      <c r="B12" s="102" t="s">
        <v>53</v>
      </c>
      <c r="C12" s="20"/>
      <c r="D12" s="121">
        <v>672</v>
      </c>
      <c r="E12" s="121">
        <v>572</v>
      </c>
      <c r="F12" s="121">
        <v>458</v>
      </c>
      <c r="G12" s="121">
        <v>0</v>
      </c>
      <c r="H12" s="121">
        <v>0</v>
      </c>
      <c r="I12" s="160"/>
      <c r="J12" s="121">
        <f aca="true" t="shared" si="5" ref="J12:O12">J10-J11</f>
        <v>142</v>
      </c>
      <c r="K12" s="121">
        <f t="shared" si="5"/>
        <v>132</v>
      </c>
      <c r="L12" s="121">
        <f t="shared" si="5"/>
        <v>175</v>
      </c>
      <c r="M12" s="121">
        <f t="shared" si="5"/>
        <v>124</v>
      </c>
      <c r="N12" s="121">
        <f t="shared" si="5"/>
        <v>131</v>
      </c>
      <c r="O12" s="121">
        <f t="shared" si="5"/>
        <v>114</v>
      </c>
      <c r="P12" s="121">
        <v>110</v>
      </c>
      <c r="Q12" s="121">
        <v>103</v>
      </c>
      <c r="R12" s="121">
        <v>114</v>
      </c>
      <c r="Z12" s="477"/>
      <c r="AA12" s="121">
        <f>IF(AND(Z12=0,R12=0),0,IF(OR(AND(Z12&gt;0,R12&lt;=0),AND(Z12&lt;0,R12&gt;=0)),"nm",IF(AND(Z12&lt;0,R12&lt;0),IF(-(Z12/R12-1)*100&lt;-100,"(&gt;100)",-(Z12/R12-1)*100),IF((Z12/R12-1)*100&gt;100,"&gt;100",(Z12/R12-1)*100))))</f>
        <v>-100</v>
      </c>
      <c r="AB12" s="121">
        <f>IF(AND(Z12=0,O12=0),0,IF(OR(AND(Z12&gt;0,O12&lt;=0),AND(Z12&lt;0,O12&gt;=0)),"nm",IF(AND(Z12&lt;0,O12&lt;0),IF(-(Z12/O12-1)*100&lt;-100,"(&gt;100)",-(Z12/O12-1)*100),IF((Z12/O12-1)*100&gt;100,"&gt;100",(Z12/O12-1)*100))))</f>
        <v>-100</v>
      </c>
      <c r="AD12" s="121">
        <v>0</v>
      </c>
      <c r="AE12" s="143"/>
      <c r="AF12" s="121">
        <f>IF(AND(AE12=0,AD12=0),0,IF(OR(AND(AE12&gt;0,AD12&lt;=0),AND(AE12&lt;0,AD12&gt;=0)),"nm",IF(AND(AE12&lt;0,AD12&lt;0),IF(-(AE12/AD12-1)*100&lt;-100,"(&gt;100)",-(AE12/AD12-1)*100),IF((AE12/AD12-1)*100&gt;100,"&gt;100",(AE12/AD12-1)*100))))</f>
        <v>0</v>
      </c>
      <c r="AH12" s="20" t="s">
        <v>359</v>
      </c>
    </row>
    <row r="13" spans="14:31" ht="14.25">
      <c r="N13" s="165"/>
      <c r="O13" s="165"/>
      <c r="P13" s="165"/>
      <c r="Q13" s="165"/>
      <c r="R13" s="165"/>
      <c r="S13" s="165"/>
      <c r="T13" s="165"/>
      <c r="U13" s="165"/>
      <c r="V13" s="165"/>
      <c r="W13" s="165"/>
      <c r="X13" s="165"/>
      <c r="Y13" s="165"/>
      <c r="Z13" s="477"/>
      <c r="AD13" s="165"/>
      <c r="AE13" s="143"/>
    </row>
    <row r="14" spans="1:32" s="24" customFormat="1" ht="14.25" customHeight="1">
      <c r="A14" s="47" t="s">
        <v>108</v>
      </c>
      <c r="B14" s="31"/>
      <c r="D14" s="8"/>
      <c r="E14" s="17"/>
      <c r="F14" s="17"/>
      <c r="G14" s="17"/>
      <c r="H14" s="17"/>
      <c r="I14" s="17"/>
      <c r="J14" s="17"/>
      <c r="K14" s="17"/>
      <c r="L14" s="17"/>
      <c r="M14" s="17"/>
      <c r="N14" s="169"/>
      <c r="O14" s="169"/>
      <c r="P14" s="169"/>
      <c r="Q14" s="169"/>
      <c r="R14" s="169"/>
      <c r="S14" s="169"/>
      <c r="T14" s="169"/>
      <c r="U14" s="169"/>
      <c r="V14" s="169"/>
      <c r="W14" s="169"/>
      <c r="X14" s="169"/>
      <c r="Y14" s="169"/>
      <c r="Z14" s="478"/>
      <c r="AA14" s="17"/>
      <c r="AB14" s="17"/>
      <c r="AC14" s="17"/>
      <c r="AD14" s="169"/>
      <c r="AE14" s="144"/>
      <c r="AF14" s="17"/>
    </row>
    <row r="15" spans="2:32" ht="14.25">
      <c r="B15" s="101" t="s">
        <v>72</v>
      </c>
      <c r="C15" s="20"/>
      <c r="D15" s="121">
        <v>39539</v>
      </c>
      <c r="E15" s="121">
        <v>45094</v>
      </c>
      <c r="F15" s="121">
        <v>51328</v>
      </c>
      <c r="G15" s="121">
        <v>56167</v>
      </c>
      <c r="H15" s="121">
        <v>63232</v>
      </c>
      <c r="J15" s="121">
        <v>40145</v>
      </c>
      <c r="K15" s="121">
        <v>39750</v>
      </c>
      <c r="L15" s="121">
        <v>41702</v>
      </c>
      <c r="M15" s="121">
        <v>45094</v>
      </c>
      <c r="N15" s="121">
        <v>46799</v>
      </c>
      <c r="O15" s="121">
        <v>49247</v>
      </c>
      <c r="P15" s="121">
        <v>49706</v>
      </c>
      <c r="Q15" s="121">
        <v>51328</v>
      </c>
      <c r="R15" s="121">
        <v>52031</v>
      </c>
      <c r="S15" s="121">
        <v>52591</v>
      </c>
      <c r="T15" s="121">
        <v>54940</v>
      </c>
      <c r="U15" s="121">
        <v>56167</v>
      </c>
      <c r="V15" s="121">
        <v>58708</v>
      </c>
      <c r="W15" s="121">
        <v>60844</v>
      </c>
      <c r="X15" s="121">
        <v>61705</v>
      </c>
      <c r="Y15" s="121">
        <v>63232</v>
      </c>
      <c r="Z15" s="122">
        <v>65336</v>
      </c>
      <c r="AA15" s="121">
        <f>IF(AND(Z15=0,Y15=0),0,IF(OR(AND(Z15&gt;0,Y15&lt;=0),AND(Z15&lt;0,Y15&gt;=0)),"nm",IF(AND(Z15&lt;0,Y15&lt;0),IF(-(Z15/Y15-1)*100&lt;-100,"(&gt;100)",-(Z15/Y15-1)*100),IF((Z15/Y15-1)*100&gt;100,"&gt;100",(Z15/Y15-1)*100))))</f>
        <v>3.3274291497975783</v>
      </c>
      <c r="AB15" s="121">
        <f>IF(AND(Z15=0,V15=0),0,IF(OR(AND(Z15&gt;0,V15&lt;=0),AND(Z15&lt;0,V15&gt;=0)),"nm",IF(AND(Z15&lt;0,V15&lt;0),IF(-(Z15/V15-1)*100&lt;-100,"(&gt;100)",-(Z15/V15-1)*100),IF((Z15/V15-1)*100&gt;100,"&gt;100",(Z15/V15-1)*100))))</f>
        <v>11.289773114396674</v>
      </c>
      <c r="AD15" s="121">
        <v>56167</v>
      </c>
      <c r="AE15" s="122">
        <f>Z15</f>
        <v>65336</v>
      </c>
      <c r="AF15" s="121">
        <f>IF(AND(AE15=0,AD15=0),0,IF(OR(AND(AE15&gt;0,AD15&lt;=0),AND(AE15&lt;0,AD15&gt;=0)),"nm",IF(AND(AE15&lt;0,AD15&lt;0),IF(-(AE15/AD15-1)*100&lt;-100,"(&gt;100)",-(AE15/AD15-1)*100),IF((AE15/AD15-1)*100&gt;100,"&gt;100",(AE15/AD15-1)*100))))</f>
        <v>16.324532198621977</v>
      </c>
    </row>
    <row r="16" spans="2:32" ht="14.25">
      <c r="B16" s="101" t="s">
        <v>11</v>
      </c>
      <c r="C16" s="20"/>
      <c r="D16" s="121">
        <v>108531</v>
      </c>
      <c r="E16" s="121">
        <v>115194</v>
      </c>
      <c r="F16" s="121">
        <v>117529</v>
      </c>
      <c r="G16" s="121">
        <v>127475</v>
      </c>
      <c r="H16" s="121">
        <v>136639</v>
      </c>
      <c r="J16" s="121">
        <v>114916</v>
      </c>
      <c r="K16" s="121">
        <v>116129</v>
      </c>
      <c r="L16" s="121">
        <v>114490</v>
      </c>
      <c r="M16" s="121">
        <v>115194</v>
      </c>
      <c r="N16" s="121">
        <v>115590</v>
      </c>
      <c r="O16" s="121">
        <v>115824</v>
      </c>
      <c r="P16" s="121">
        <v>113944</v>
      </c>
      <c r="Q16" s="121">
        <v>117529</v>
      </c>
      <c r="R16" s="121">
        <v>112885</v>
      </c>
      <c r="S16" s="121">
        <v>122424</v>
      </c>
      <c r="T16" s="121">
        <v>126530</v>
      </c>
      <c r="U16" s="121">
        <v>127475</v>
      </c>
      <c r="V16" s="121">
        <v>130918</v>
      </c>
      <c r="W16" s="121">
        <v>130326</v>
      </c>
      <c r="X16" s="121">
        <v>134727</v>
      </c>
      <c r="Y16" s="121">
        <v>136639</v>
      </c>
      <c r="Z16" s="122">
        <v>137398</v>
      </c>
      <c r="AA16" s="121">
        <f>IF(AND(Z16=0,Y16=0),0,IF(OR(AND(Z16&gt;0,Y16&lt;=0),AND(Z16&lt;0,Y16&gt;=0)),"nm",IF(AND(Z16&lt;0,Y16&lt;0),IF(-(Z16/Y16-1)*100&lt;-100,"(&gt;100)",-(Z16/Y16-1)*100),IF((Z16/Y16-1)*100&gt;100,"&gt;100",(Z16/Y16-1)*100))))</f>
        <v>0.5554783041445077</v>
      </c>
      <c r="AB16" s="121">
        <f>IF(AND(Z16=0,V16=0),0,IF(OR(AND(Z16&gt;0,V16&lt;=0),AND(Z16&lt;0,V16&gt;=0)),"nm",IF(AND(Z16&lt;0,V16&lt;0),IF(-(Z16/V16-1)*100&lt;-100,"(&gt;100)",-(Z16/V16-1)*100),IF((Z16/V16-1)*100&gt;100,"&gt;100",(Z16/V16-1)*100))))</f>
        <v>4.9496631479246656</v>
      </c>
      <c r="AD16" s="121">
        <v>127475</v>
      </c>
      <c r="AE16" s="122">
        <f>Z16</f>
        <v>137398</v>
      </c>
      <c r="AF16" s="121">
        <f>IF(AND(AE16=0,AD16=0),0,IF(OR(AND(AE16&gt;0,AD16&lt;=0),AND(AE16&lt;0,AD16&gt;=0)),"nm",IF(AND(AE16&lt;0,AD16&lt;0),IF(-(AE16/AD16-1)*100&lt;-100,"(&gt;100)",-(AE16/AD16-1)*100),IF((AE16/AD16-1)*100&gt;100,"&gt;100",(AE16/AD16-1)*100))))</f>
        <v>7.784271425769762</v>
      </c>
    </row>
    <row r="17" spans="2:32" ht="14.25">
      <c r="B17" s="101" t="s">
        <v>69</v>
      </c>
      <c r="C17" s="20"/>
      <c r="D17" s="121">
        <v>67</v>
      </c>
      <c r="E17" s="121">
        <v>28</v>
      </c>
      <c r="F17" s="121">
        <v>45</v>
      </c>
      <c r="G17" s="121">
        <v>31</v>
      </c>
      <c r="H17" s="121">
        <v>57</v>
      </c>
      <c r="J17" s="121">
        <v>4</v>
      </c>
      <c r="K17" s="121">
        <v>4</v>
      </c>
      <c r="L17" s="121">
        <v>6</v>
      </c>
      <c r="M17" s="121">
        <v>14</v>
      </c>
      <c r="N17" s="121">
        <v>3</v>
      </c>
      <c r="O17" s="121">
        <v>11</v>
      </c>
      <c r="P17" s="121">
        <v>9</v>
      </c>
      <c r="Q17" s="121">
        <v>22</v>
      </c>
      <c r="R17" s="121">
        <v>9</v>
      </c>
      <c r="S17" s="121">
        <v>6</v>
      </c>
      <c r="T17" s="121">
        <v>6</v>
      </c>
      <c r="U17" s="121">
        <v>10</v>
      </c>
      <c r="V17" s="121">
        <v>3</v>
      </c>
      <c r="W17" s="121">
        <v>5</v>
      </c>
      <c r="X17" s="121">
        <v>20</v>
      </c>
      <c r="Y17" s="121">
        <v>29</v>
      </c>
      <c r="Z17" s="122">
        <v>8</v>
      </c>
      <c r="AA17" s="121">
        <f>IF(AND(Z17=0,Y17=0),0,IF(OR(AND(Z17&gt;0,Y17&lt;=0),AND(Z17&lt;0,Y17&gt;=0)),"nm",IF(AND(Z17&lt;0,Y17&lt;0),IF(-(Z17/Y17-1)*100&lt;-100,"(&gt;100)",-(Z17/Y17-1)*100),IF((Z17/Y17-1)*100&gt;100,"&gt;100",(Z17/Y17-1)*100))))</f>
        <v>-72.41379310344827</v>
      </c>
      <c r="AB17" s="121" t="str">
        <f>IF(AND(Z17=0,V17=0),0,IF(OR(AND(Z17&gt;0,V17&lt;=0),AND(Z17&lt;0,V17&gt;=0)),"nm",IF(AND(Z17&lt;0,V17&lt;0),IF(-(Z17/V17-1)*100&lt;-100,"(&gt;100)",-(Z17/V17-1)*100),IF((Z17/V17-1)*100&gt;100,"&gt;100",(Z17/V17-1)*100))))</f>
        <v>&gt;100</v>
      </c>
      <c r="AD17" s="121">
        <v>31</v>
      </c>
      <c r="AE17" s="122">
        <f>V17+Z17+W17+X17</f>
        <v>36</v>
      </c>
      <c r="AF17" s="121">
        <f>IF(AND(AE17=0,AD17=0),0,IF(OR(AND(AE17&gt;0,AD17&lt;=0),AND(AE17&lt;0,AD17&gt;=0)),"nm",IF(AND(AE17&lt;0,AD17&lt;0),IF(-(AE17/AD17-1)*100&lt;-100,"(&gt;100)",-(AE17/AD17-1)*100),IF((AE17/AD17-1)*100&gt;100,"&gt;100",(AE17/AD17-1)*100))))</f>
        <v>16.129032258064523</v>
      </c>
    </row>
    <row r="18" spans="2:32" ht="14.25">
      <c r="B18" s="101" t="s">
        <v>70</v>
      </c>
      <c r="C18" s="20"/>
      <c r="D18" s="121">
        <v>32</v>
      </c>
      <c r="E18" s="121">
        <v>50</v>
      </c>
      <c r="F18" s="121">
        <v>47</v>
      </c>
      <c r="G18" s="121">
        <v>43</v>
      </c>
      <c r="H18" s="121">
        <v>32</v>
      </c>
      <c r="J18" s="121">
        <v>12</v>
      </c>
      <c r="K18" s="121">
        <v>12</v>
      </c>
      <c r="L18" s="121">
        <v>12</v>
      </c>
      <c r="M18" s="121">
        <v>14</v>
      </c>
      <c r="N18" s="121">
        <v>12</v>
      </c>
      <c r="O18" s="121">
        <v>13</v>
      </c>
      <c r="P18" s="121">
        <v>11</v>
      </c>
      <c r="Q18" s="121">
        <v>11</v>
      </c>
      <c r="R18" s="121">
        <v>12</v>
      </c>
      <c r="S18" s="121">
        <v>10</v>
      </c>
      <c r="T18" s="121">
        <v>14</v>
      </c>
      <c r="U18" s="121">
        <v>7</v>
      </c>
      <c r="V18" s="121">
        <v>8</v>
      </c>
      <c r="W18" s="121">
        <v>8</v>
      </c>
      <c r="X18" s="121">
        <v>7</v>
      </c>
      <c r="Y18" s="121">
        <v>9</v>
      </c>
      <c r="Z18" s="122">
        <v>9</v>
      </c>
      <c r="AA18" s="121">
        <f>IF(AND(Z18=0,Y18=0),0,IF(OR(AND(Z18&gt;0,Y18&lt;=0),AND(Z18&lt;0,Y18&gt;=0)),"nm",IF(AND(Z18&lt;0,Y18&lt;0),IF(-(Z18/Y18-1)*100&lt;-100,"(&gt;100)",-(Z18/Y18-1)*100),IF((Z18/Y18-1)*100&gt;100,"&gt;100",(Z18/Y18-1)*100))))</f>
        <v>0</v>
      </c>
      <c r="AB18" s="121">
        <f>IF(AND(Z18=0,V18=0),0,IF(OR(AND(Z18&gt;0,V18&lt;=0),AND(Z18&lt;0,V18&gt;=0)),"nm",IF(AND(Z18&lt;0,V18&lt;0),IF(-(Z18/V18-1)*100&lt;-100,"(&gt;100)",-(Z18/V18-1)*100),IF((Z18/V18-1)*100&gt;100,"&gt;100",(Z18/V18-1)*100))))</f>
        <v>12.5</v>
      </c>
      <c r="AD18" s="121">
        <v>43</v>
      </c>
      <c r="AE18" s="122">
        <f>V18+Z18+W18+X18</f>
        <v>32</v>
      </c>
      <c r="AF18" s="121">
        <f>IF(AND(AE18=0,AD18=0),0,IF(OR(AND(AE18&gt;0,AD18&lt;=0),AND(AE18&lt;0,AD18&gt;=0)),"nm",IF(AND(AE18&lt;0,AD18&lt;0),IF(-(AE18/AD18-1)*100&lt;-100,"(&gt;100)",-(AE18/AD18-1)*100),IF((AE18/AD18-1)*100&gt;100,"&gt;100",(AE18/AD18-1)*100))))</f>
        <v>-25.581395348837212</v>
      </c>
    </row>
    <row r="19" spans="2:25" ht="14.25">
      <c r="B19" s="38"/>
      <c r="N19" s="165"/>
      <c r="O19" s="165"/>
      <c r="P19" s="165"/>
      <c r="Q19" s="165"/>
      <c r="R19" s="165"/>
      <c r="S19" s="165"/>
      <c r="T19" s="165"/>
      <c r="U19" s="165"/>
      <c r="V19" s="165"/>
      <c r="W19" s="165"/>
      <c r="X19" s="165"/>
      <c r="Y19" s="165"/>
    </row>
    <row r="20" spans="4:31" ht="14.25">
      <c r="D20" s="121"/>
      <c r="Z20" s="364"/>
      <c r="AE20" s="364"/>
    </row>
    <row r="21" spans="4:31" ht="14.25">
      <c r="D21" s="121"/>
      <c r="Z21" s="364"/>
      <c r="AE21" s="364"/>
    </row>
    <row r="22" spans="4:31" ht="14.25">
      <c r="D22" s="121"/>
      <c r="Z22" s="364"/>
      <c r="AE22" s="364"/>
    </row>
    <row r="23" spans="4:31" ht="14.25">
      <c r="D23" s="121"/>
      <c r="Z23" s="364"/>
      <c r="AE23" s="364"/>
    </row>
    <row r="24" spans="4:31" ht="14.25">
      <c r="D24" s="121"/>
      <c r="Z24" s="364"/>
      <c r="AE24" s="364"/>
    </row>
    <row r="25" spans="4:31" ht="14.25">
      <c r="D25" s="121"/>
      <c r="Z25" s="364"/>
      <c r="AE25" s="364"/>
    </row>
    <row r="26" spans="4:31" ht="14.25">
      <c r="D26" s="121"/>
      <c r="Z26" s="364"/>
      <c r="AE26" s="364"/>
    </row>
    <row r="27" spans="4:26" ht="14.25">
      <c r="D27" s="121"/>
      <c r="Z27" s="364"/>
    </row>
    <row r="28" spans="4:26" ht="14.25">
      <c r="D28" s="121"/>
      <c r="Z28" s="364"/>
    </row>
    <row r="29" spans="4:26" ht="14.25">
      <c r="D29" s="121"/>
      <c r="Z29" s="364"/>
    </row>
    <row r="30" spans="4:26" ht="14.25">
      <c r="D30" s="121"/>
      <c r="Z30" s="364"/>
    </row>
    <row r="31" spans="4:26" ht="14.25">
      <c r="D31" s="121"/>
      <c r="Z31" s="364"/>
    </row>
    <row r="32" spans="4:26" ht="14.25">
      <c r="D32" s="121"/>
      <c r="Z32" s="364"/>
    </row>
    <row r="33" spans="4:26" ht="14.25">
      <c r="D33" s="121"/>
      <c r="Z33" s="364"/>
    </row>
    <row r="34" ht="14.25">
      <c r="D34" s="121"/>
    </row>
    <row r="35" ht="14.25">
      <c r="D35" s="121"/>
    </row>
    <row r="36" ht="14.25">
      <c r="D36" s="121"/>
    </row>
    <row r="37" ht="14.25">
      <c r="D37" s="121"/>
    </row>
    <row r="38" ht="14.25">
      <c r="D38" s="121"/>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12"/>
    <pageSetUpPr fitToPage="1"/>
  </sheetPr>
  <dimension ref="A1:AF30"/>
  <sheetViews>
    <sheetView zoomScale="80" zoomScaleNormal="80" zoomScalePageLayoutView="0" workbookViewId="0" topLeftCell="A1">
      <pane xSplit="3" ySplit="2" topLeftCell="P19" activePane="bottomRight" state="frozen"/>
      <selection pane="topLeft" activeCell="P25" sqref="P25"/>
      <selection pane="topRight" activeCell="P25" sqref="P25"/>
      <selection pane="bottomLeft" activeCell="P25" sqref="P25"/>
      <selection pane="bottomRight" activeCell="X23" sqref="X23"/>
    </sheetView>
  </sheetViews>
  <sheetFormatPr defaultColWidth="9.140625" defaultRowHeight="12.75" outlineLevelCol="1"/>
  <cols>
    <col min="1" max="1" width="4.00390625" style="20" customWidth="1"/>
    <col min="2" max="2" width="4.28125" style="20" customWidth="1"/>
    <col min="3" max="3" width="33.7109375" style="5" customWidth="1"/>
    <col min="4" max="4" width="9.8515625" style="126" hidden="1" customWidth="1" outlineLevel="1"/>
    <col min="5" max="8" width="10.00390625" style="121" hidden="1" customWidth="1" outlineLevel="1"/>
    <col min="9" max="9" width="2.8515625" style="121" hidden="1" customWidth="1" outlineLevel="1"/>
    <col min="10" max="11" width="9.8515625" style="121" hidden="1" customWidth="1" outlineLevel="1"/>
    <col min="12" max="12" width="10.57421875" style="121" hidden="1" customWidth="1" outlineLevel="1"/>
    <col min="13" max="17" width="9.8515625" style="121" hidden="1" customWidth="1" outlineLevel="1"/>
    <col min="18" max="19" width="9.8515625" style="121" hidden="1" customWidth="1" outlineLevel="1" collapsed="1"/>
    <col min="20" max="21" width="9.8515625" style="121" hidden="1" customWidth="1" outlineLevel="1"/>
    <col min="22" max="22" width="9.8515625" style="121" customWidth="1" collapsed="1"/>
    <col min="23" max="25" width="9.8515625" style="121" customWidth="1"/>
    <col min="26" max="26" width="9.8515625" style="122" bestFit="1" customWidth="1"/>
    <col min="27" max="28" width="8.140625" style="121" bestFit="1" customWidth="1"/>
    <col min="29" max="29" width="3.140625" style="121" customWidth="1"/>
    <col min="30" max="30" width="9.8515625" style="121" hidden="1" customWidth="1"/>
    <col min="31" max="31" width="9.8515625" style="122" hidden="1" customWidth="1"/>
    <col min="32" max="32" width="8.140625" style="121" hidden="1" customWidth="1"/>
    <col min="33" max="16384" width="9.140625" style="20" customWidth="1"/>
  </cols>
  <sheetData>
    <row r="1" spans="1:32" s="42" customFormat="1" ht="20.25">
      <c r="A1" s="41" t="s">
        <v>332</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290" t="s">
        <v>366</v>
      </c>
      <c r="AE2" s="290" t="s">
        <v>392</v>
      </c>
      <c r="AF2" s="290" t="s">
        <v>393</v>
      </c>
    </row>
    <row r="3" spans="1:32" s="24" customFormat="1" ht="14.25" customHeight="1">
      <c r="A3" s="88" t="s">
        <v>103</v>
      </c>
      <c r="B3" s="31"/>
      <c r="D3" s="17"/>
      <c r="E3" s="17"/>
      <c r="F3" s="17"/>
      <c r="G3" s="17"/>
      <c r="H3" s="17"/>
      <c r="I3" s="17"/>
      <c r="J3" s="17"/>
      <c r="K3" s="17"/>
      <c r="L3" s="17"/>
      <c r="M3" s="17"/>
      <c r="N3" s="170"/>
      <c r="O3" s="170"/>
      <c r="P3" s="170"/>
      <c r="Q3" s="170"/>
      <c r="R3" s="170"/>
      <c r="S3" s="170"/>
      <c r="T3" s="170"/>
      <c r="U3" s="170"/>
      <c r="V3" s="170"/>
      <c r="W3" s="170"/>
      <c r="X3" s="170"/>
      <c r="Y3" s="170"/>
      <c r="Z3" s="125"/>
      <c r="AA3" s="17"/>
      <c r="AB3" s="17"/>
      <c r="AC3" s="17"/>
      <c r="AD3" s="170"/>
      <c r="AE3" s="365"/>
      <c r="AF3" s="17"/>
    </row>
    <row r="4" spans="2:32" ht="14.25">
      <c r="B4" s="101" t="s">
        <v>5</v>
      </c>
      <c r="C4" s="20"/>
      <c r="D4" s="121">
        <v>1410</v>
      </c>
      <c r="E4" s="121">
        <v>1844</v>
      </c>
      <c r="F4" s="121">
        <v>1995</v>
      </c>
      <c r="G4" s="121">
        <v>2317</v>
      </c>
      <c r="H4" s="121">
        <v>2767</v>
      </c>
      <c r="I4" s="160"/>
      <c r="J4" s="121">
        <v>427</v>
      </c>
      <c r="K4" s="121">
        <v>450</v>
      </c>
      <c r="L4" s="121">
        <v>486</v>
      </c>
      <c r="M4" s="121">
        <v>481</v>
      </c>
      <c r="N4" s="121">
        <v>474</v>
      </c>
      <c r="O4" s="121">
        <v>503</v>
      </c>
      <c r="P4" s="121">
        <v>505</v>
      </c>
      <c r="Q4" s="121">
        <v>513</v>
      </c>
      <c r="R4" s="121">
        <v>519</v>
      </c>
      <c r="S4" s="121">
        <v>552</v>
      </c>
      <c r="T4" s="121">
        <v>589</v>
      </c>
      <c r="U4" s="121">
        <v>657</v>
      </c>
      <c r="V4" s="121">
        <v>674</v>
      </c>
      <c r="W4" s="494">
        <v>708</v>
      </c>
      <c r="X4" s="494">
        <v>697</v>
      </c>
      <c r="Y4" s="121">
        <v>668</v>
      </c>
      <c r="Z4" s="122">
        <v>718</v>
      </c>
      <c r="AA4" s="121">
        <f>IF(AND(Z4=0,Y4=0),0,IF(OR(AND(Z4&gt;0,Y4&lt;=0),AND(Z4&lt;0,Y4&gt;=0)),"nm",IF(AND(Z4&lt;0,Y4&lt;0),IF(-(Z4/Y4-1)*100&lt;-100,"(&gt;100)",-(Z4/Y4-1)*100),IF((Z4/Y4-1)*100&gt;100,"&gt;100",(Z4/Y4-1)*100))))</f>
        <v>7.4850299401197695</v>
      </c>
      <c r="AB4" s="121">
        <f>IF(AND(Z4=0,V4=0),0,IF(OR(AND(Z4&gt;0,V4&lt;=0),AND(Z4&lt;0,V4&gt;=0)),"nm",IF(AND(Z4&lt;0,V4&lt;0),IF(-(Z4/V4-1)*100&lt;-100,"(&gt;100)",-(Z4/V4-1)*100),IF((Z4/V4-1)*100&gt;100,"&gt;100",(Z4/V4-1)*100))))</f>
        <v>6.528189910979232</v>
      </c>
      <c r="AD4" s="121">
        <v>2317</v>
      </c>
      <c r="AE4" s="122">
        <v>2767</v>
      </c>
      <c r="AF4" s="121">
        <f>IF(AND(AE4=0,AD4=0),0,IF(OR(AND(AE4&gt;0,AD4&lt;=0),AND(AE4&lt;0,AD4&gt;=0)),"nm",IF(AND(AE4&lt;0,AD4&lt;0),IF(-(AE4/AD4-1)*100&lt;-100,"(&gt;100)",-(AE4/AD4-1)*100),IF((AE4/AD4-1)*100&gt;100,"&gt;100",(AE4/AD4-1)*100))))</f>
        <v>19.421665947345712</v>
      </c>
    </row>
    <row r="5" spans="2:32" ht="14.25">
      <c r="B5" s="101" t="s">
        <v>25</v>
      </c>
      <c r="C5" s="20"/>
      <c r="D5" s="121">
        <v>1241</v>
      </c>
      <c r="E5" s="121">
        <v>1328</v>
      </c>
      <c r="F5" s="121">
        <v>1518</v>
      </c>
      <c r="G5" s="121">
        <v>1693</v>
      </c>
      <c r="H5" s="121">
        <v>1545</v>
      </c>
      <c r="I5" s="160"/>
      <c r="J5" s="121">
        <v>335</v>
      </c>
      <c r="K5" s="121">
        <v>348</v>
      </c>
      <c r="L5" s="121">
        <v>321</v>
      </c>
      <c r="M5" s="121">
        <v>323</v>
      </c>
      <c r="N5" s="121">
        <v>330</v>
      </c>
      <c r="O5" s="121">
        <v>417</v>
      </c>
      <c r="P5" s="121">
        <v>399</v>
      </c>
      <c r="Q5" s="121">
        <v>372</v>
      </c>
      <c r="R5" s="121">
        <v>468</v>
      </c>
      <c r="S5" s="121">
        <v>435</v>
      </c>
      <c r="T5" s="121">
        <v>469</v>
      </c>
      <c r="U5" s="121">
        <v>321</v>
      </c>
      <c r="V5" s="121">
        <v>384</v>
      </c>
      <c r="W5" s="494">
        <v>367</v>
      </c>
      <c r="X5" s="494">
        <v>378</v>
      </c>
      <c r="Y5" s="121">
        <v>276</v>
      </c>
      <c r="Z5" s="122">
        <v>484</v>
      </c>
      <c r="AA5" s="121">
        <f aca="true" t="shared" si="0" ref="AA5:AA10">IF(AND(Z5=0,Y5=0),0,IF(OR(AND(Z5&gt;0,Y5&lt;=0),AND(Z5&lt;0,Y5&gt;=0)),"nm",IF(AND(Z5&lt;0,Y5&lt;0),IF(-(Z5/Y5-1)*100&lt;-100,"(&gt;100)",-(Z5/Y5-1)*100),IF((Z5/Y5-1)*100&gt;100,"&gt;100",(Z5/Y5-1)*100))))</f>
        <v>75.36231884057972</v>
      </c>
      <c r="AB5" s="121">
        <f aca="true" t="shared" si="1" ref="AB5:AB10">IF(AND(Z5=0,V5=0),0,IF(OR(AND(Z5&gt;0,V5&lt;=0),AND(Z5&lt;0,V5&gt;=0)),"nm",IF(AND(Z5&lt;0,V5&lt;0),IF(-(Z5/V5-1)*100&lt;-100,"(&gt;100)",-(Z5/V5-1)*100),IF((Z5/V5-1)*100&gt;100,"&gt;100",(Z5/V5-1)*100))))</f>
        <v>26.041666666666675</v>
      </c>
      <c r="AD5" s="121">
        <v>1693</v>
      </c>
      <c r="AE5" s="122">
        <v>1545</v>
      </c>
      <c r="AF5" s="121">
        <f>IF(AND(AE5=0,AD5=0),0,IF(OR(AND(AE5&gt;0,AD5&lt;=0),AND(AE5&lt;0,AD5&gt;=0)),"nm",IF(AND(AE5&lt;0,AD5&lt;0),IF(-(AE5/AD5-1)*100&lt;-100,"(&gt;100)",-(AE5/AD5-1)*100),IF((AE5/AD5-1)*100&gt;100,"&gt;100",(AE5/AD5-1)*100))))</f>
        <v>-8.741878322504427</v>
      </c>
    </row>
    <row r="6" spans="2:32" ht="14.25">
      <c r="B6" s="101" t="s">
        <v>6</v>
      </c>
      <c r="C6" s="20"/>
      <c r="D6" s="121">
        <v>2651</v>
      </c>
      <c r="E6" s="121">
        <v>3172</v>
      </c>
      <c r="F6" s="121">
        <v>3513</v>
      </c>
      <c r="G6" s="121">
        <v>4010</v>
      </c>
      <c r="H6" s="121">
        <v>4312</v>
      </c>
      <c r="I6" s="160"/>
      <c r="J6" s="121">
        <f aca="true" t="shared" si="2" ref="J6:O6">J4+J5</f>
        <v>762</v>
      </c>
      <c r="K6" s="121">
        <f t="shared" si="2"/>
        <v>798</v>
      </c>
      <c r="L6" s="121">
        <f t="shared" si="2"/>
        <v>807</v>
      </c>
      <c r="M6" s="121">
        <f t="shared" si="2"/>
        <v>804</v>
      </c>
      <c r="N6" s="121">
        <f t="shared" si="2"/>
        <v>804</v>
      </c>
      <c r="O6" s="121">
        <f t="shared" si="2"/>
        <v>920</v>
      </c>
      <c r="P6" s="121">
        <v>904</v>
      </c>
      <c r="Q6" s="121">
        <v>885</v>
      </c>
      <c r="R6" s="121">
        <v>987</v>
      </c>
      <c r="S6" s="121">
        <v>987</v>
      </c>
      <c r="T6" s="121">
        <v>1058</v>
      </c>
      <c r="U6" s="121">
        <v>978</v>
      </c>
      <c r="V6" s="121">
        <v>1058</v>
      </c>
      <c r="W6" s="494">
        <v>1075</v>
      </c>
      <c r="X6" s="494">
        <v>1075</v>
      </c>
      <c r="Y6" s="121">
        <v>944</v>
      </c>
      <c r="Z6" s="122">
        <v>1202</v>
      </c>
      <c r="AA6" s="121">
        <f t="shared" si="0"/>
        <v>27.330508474576277</v>
      </c>
      <c r="AB6" s="121">
        <f t="shared" si="1"/>
        <v>13.610586011342152</v>
      </c>
      <c r="AD6" s="121">
        <v>4010</v>
      </c>
      <c r="AE6" s="122">
        <f>AE4+AE5</f>
        <v>4312</v>
      </c>
      <c r="AF6" s="121">
        <f aca="true" t="shared" si="3" ref="AF6:AF12">IF(AND(AE6=0,AD6=0),0,IF(OR(AND(AE6&gt;0,AD6&lt;=0),AND(AE6&lt;0,AD6&gt;=0)),"nm",IF(AND(AE6&lt;0,AD6&lt;0),IF(-(AE6/AD6-1)*100&lt;-100,"(&gt;100)",-(AE6/AD6-1)*100),IF((AE6/AD6-1)*100&gt;100,"&gt;100",(AE6/AD6-1)*100))))</f>
        <v>7.531172069825431</v>
      </c>
    </row>
    <row r="7" spans="2:32" ht="14.25">
      <c r="B7" s="101" t="s">
        <v>0</v>
      </c>
      <c r="C7" s="20"/>
      <c r="D7" s="121">
        <v>951</v>
      </c>
      <c r="E7" s="121">
        <v>964</v>
      </c>
      <c r="F7" s="121">
        <v>1119</v>
      </c>
      <c r="G7" s="121">
        <v>1319</v>
      </c>
      <c r="H7" s="121">
        <v>1416</v>
      </c>
      <c r="I7" s="160"/>
      <c r="J7" s="121">
        <v>218</v>
      </c>
      <c r="K7" s="121">
        <v>244</v>
      </c>
      <c r="L7" s="121">
        <v>233</v>
      </c>
      <c r="M7" s="121">
        <v>269</v>
      </c>
      <c r="N7" s="121">
        <v>247</v>
      </c>
      <c r="O7" s="121">
        <v>259</v>
      </c>
      <c r="P7" s="121">
        <v>282</v>
      </c>
      <c r="Q7" s="121">
        <v>331</v>
      </c>
      <c r="R7" s="121">
        <v>294</v>
      </c>
      <c r="S7" s="121">
        <v>318</v>
      </c>
      <c r="T7" s="121">
        <v>331</v>
      </c>
      <c r="U7" s="121">
        <v>376</v>
      </c>
      <c r="V7" s="121">
        <v>283</v>
      </c>
      <c r="W7" s="494">
        <v>306</v>
      </c>
      <c r="X7" s="494">
        <v>319</v>
      </c>
      <c r="Y7" s="121">
        <v>362</v>
      </c>
      <c r="Z7" s="122">
        <v>319</v>
      </c>
      <c r="AA7" s="121">
        <f t="shared" si="0"/>
        <v>-11.878453038674031</v>
      </c>
      <c r="AB7" s="121">
        <f t="shared" si="1"/>
        <v>12.720848056537104</v>
      </c>
      <c r="AD7" s="121">
        <v>1319</v>
      </c>
      <c r="AE7" s="122">
        <v>1416</v>
      </c>
      <c r="AF7" s="121">
        <f t="shared" si="3"/>
        <v>7.3540561031084195</v>
      </c>
    </row>
    <row r="8" spans="2:32" ht="14.25">
      <c r="B8" s="101" t="s">
        <v>8</v>
      </c>
      <c r="C8" s="20"/>
      <c r="D8" s="121">
        <v>476</v>
      </c>
      <c r="E8" s="121">
        <v>1118</v>
      </c>
      <c r="F8" s="121">
        <v>812</v>
      </c>
      <c r="G8" s="121">
        <v>453</v>
      </c>
      <c r="H8" s="121">
        <v>212</v>
      </c>
      <c r="I8" s="160"/>
      <c r="J8" s="121">
        <v>211</v>
      </c>
      <c r="K8" s="121">
        <v>245</v>
      </c>
      <c r="L8" s="121">
        <v>245</v>
      </c>
      <c r="M8" s="121">
        <v>417</v>
      </c>
      <c r="N8" s="121">
        <v>328</v>
      </c>
      <c r="O8" s="121">
        <v>175</v>
      </c>
      <c r="P8" s="121">
        <v>149</v>
      </c>
      <c r="Q8" s="121">
        <v>160</v>
      </c>
      <c r="R8" s="121">
        <v>56</v>
      </c>
      <c r="S8" s="121">
        <v>72</v>
      </c>
      <c r="T8" s="121">
        <v>140</v>
      </c>
      <c r="U8" s="121">
        <v>185</v>
      </c>
      <c r="V8" s="121">
        <v>73</v>
      </c>
      <c r="W8" s="494">
        <v>72</v>
      </c>
      <c r="X8" s="494">
        <v>-18</v>
      </c>
      <c r="Y8" s="121">
        <v>88</v>
      </c>
      <c r="Z8" s="122">
        <v>173</v>
      </c>
      <c r="AA8" s="121">
        <f t="shared" si="0"/>
        <v>96.59090909090908</v>
      </c>
      <c r="AB8" s="121" t="str">
        <f t="shared" si="1"/>
        <v>&gt;100</v>
      </c>
      <c r="AD8" s="121">
        <v>453</v>
      </c>
      <c r="AE8" s="122">
        <v>212</v>
      </c>
      <c r="AF8" s="121">
        <f t="shared" si="3"/>
        <v>-53.20088300220751</v>
      </c>
    </row>
    <row r="9" spans="2:32" ht="14.25">
      <c r="B9" s="102" t="s">
        <v>67</v>
      </c>
      <c r="C9" s="20"/>
      <c r="D9" s="121">
        <v>19</v>
      </c>
      <c r="E9" s="121">
        <v>28</v>
      </c>
      <c r="F9" s="121">
        <v>25</v>
      </c>
      <c r="G9" s="121">
        <v>21</v>
      </c>
      <c r="H9" s="121">
        <v>6</v>
      </c>
      <c r="I9" s="160"/>
      <c r="J9" s="121">
        <v>5</v>
      </c>
      <c r="K9" s="121">
        <v>6</v>
      </c>
      <c r="L9" s="121">
        <v>8</v>
      </c>
      <c r="M9" s="121">
        <v>9</v>
      </c>
      <c r="N9" s="121">
        <v>6</v>
      </c>
      <c r="O9" s="121">
        <v>8</v>
      </c>
      <c r="P9" s="121">
        <v>6</v>
      </c>
      <c r="Q9" s="121">
        <v>5</v>
      </c>
      <c r="R9" s="121">
        <v>7</v>
      </c>
      <c r="S9" s="121">
        <v>7</v>
      </c>
      <c r="T9" s="121">
        <v>6</v>
      </c>
      <c r="U9" s="121">
        <v>1</v>
      </c>
      <c r="V9" s="121">
        <v>0</v>
      </c>
      <c r="W9" s="494">
        <v>0</v>
      </c>
      <c r="X9" s="494">
        <v>0</v>
      </c>
      <c r="Y9" s="121">
        <v>0</v>
      </c>
      <c r="Z9" s="122">
        <v>0</v>
      </c>
      <c r="AA9" s="121">
        <f t="shared" si="0"/>
        <v>0</v>
      </c>
      <c r="AB9" s="121">
        <f t="shared" si="1"/>
        <v>0</v>
      </c>
      <c r="AD9" s="121">
        <v>21</v>
      </c>
      <c r="AE9" s="122">
        <v>6</v>
      </c>
      <c r="AF9" s="121">
        <f t="shared" si="3"/>
        <v>-71.42857142857143</v>
      </c>
    </row>
    <row r="10" spans="2:32" ht="14.25">
      <c r="B10" s="102" t="s">
        <v>9</v>
      </c>
      <c r="C10" s="20"/>
      <c r="D10" s="121">
        <v>1243</v>
      </c>
      <c r="E10" s="121">
        <v>1118</v>
      </c>
      <c r="F10" s="121">
        <v>1607</v>
      </c>
      <c r="G10" s="121">
        <v>2259</v>
      </c>
      <c r="H10" s="121">
        <v>2690</v>
      </c>
      <c r="I10" s="160"/>
      <c r="J10" s="121">
        <f aca="true" t="shared" si="4" ref="J10:O10">J6-J7-J8+J9</f>
        <v>338</v>
      </c>
      <c r="K10" s="121">
        <f t="shared" si="4"/>
        <v>315</v>
      </c>
      <c r="L10" s="121">
        <f t="shared" si="4"/>
        <v>337</v>
      </c>
      <c r="M10" s="121">
        <f t="shared" si="4"/>
        <v>127</v>
      </c>
      <c r="N10" s="121">
        <f t="shared" si="4"/>
        <v>235</v>
      </c>
      <c r="O10" s="121">
        <f t="shared" si="4"/>
        <v>494</v>
      </c>
      <c r="P10" s="121">
        <v>479</v>
      </c>
      <c r="Q10" s="121">
        <v>399</v>
      </c>
      <c r="R10" s="121">
        <v>644</v>
      </c>
      <c r="S10" s="121">
        <v>604</v>
      </c>
      <c r="T10" s="121">
        <v>593</v>
      </c>
      <c r="U10" s="121">
        <v>418</v>
      </c>
      <c r="V10" s="121">
        <v>702</v>
      </c>
      <c r="W10" s="494">
        <v>697</v>
      </c>
      <c r="X10" s="494">
        <v>775</v>
      </c>
      <c r="Y10" s="121">
        <v>494</v>
      </c>
      <c r="Z10" s="122">
        <v>710</v>
      </c>
      <c r="AA10" s="121">
        <f t="shared" si="0"/>
        <v>43.724696356275295</v>
      </c>
      <c r="AB10" s="121">
        <f t="shared" si="1"/>
        <v>1.139601139601143</v>
      </c>
      <c r="AD10" s="121">
        <v>2259</v>
      </c>
      <c r="AE10" s="122">
        <f>AE6-AE7-AE8+AE9</f>
        <v>2690</v>
      </c>
      <c r="AF10" s="121">
        <f>IF(AND(AE10=0,AD10=0),0,IF(OR(AND(AE10&gt;0,AD10&lt;=0),AND(AE10&lt;0,AD10&gt;=0)),"nm",IF(AND(AE10&lt;0,AD10&lt;0),IF(-(AE10/AD10-1)*100&lt;-100,"(&gt;100)",-(AE10/AD10-1)*100),IF((AE10/AD10-1)*100&gt;100,"&gt;100",(AE10/AD10-1)*100))))</f>
        <v>19.079238601150948</v>
      </c>
    </row>
    <row r="11" spans="2:32" ht="14.25" hidden="1">
      <c r="B11" s="102" t="s">
        <v>68</v>
      </c>
      <c r="C11" s="20"/>
      <c r="D11" s="121">
        <v>248</v>
      </c>
      <c r="E11" s="121">
        <v>197</v>
      </c>
      <c r="F11" s="121">
        <v>274</v>
      </c>
      <c r="H11" s="165"/>
      <c r="I11" s="160"/>
      <c r="J11" s="121">
        <v>79</v>
      </c>
      <c r="K11" s="121">
        <v>59</v>
      </c>
      <c r="L11" s="121">
        <v>68</v>
      </c>
      <c r="M11" s="121">
        <v>-9</v>
      </c>
      <c r="N11" s="121">
        <v>28</v>
      </c>
      <c r="O11" s="121">
        <v>100</v>
      </c>
      <c r="P11" s="121">
        <v>78</v>
      </c>
      <c r="Q11" s="121">
        <v>68</v>
      </c>
      <c r="R11" s="121">
        <v>116</v>
      </c>
      <c r="Z11" s="477"/>
      <c r="AA11" s="121">
        <f>IF(AND(Z11=0,R11=0),0,IF(OR(AND(Z11&gt;0,R11&lt;=0),AND(Z11&lt;0,R11&gt;=0)),"nm",IF(AND(Z11&lt;0,R11&lt;0),IF(-(Z11/R11-1)*100&lt;-100,"(&gt;100)",-(Z11/R11-1)*100),IF((Z11/R11-1)*100&gt;100,"&gt;100",(Z11/R11-1)*100))))</f>
        <v>-100</v>
      </c>
      <c r="AB11" s="121">
        <f>IF(AND(Z11=0,O11=0),0,IF(OR(AND(Z11&gt;0,O11&lt;=0),AND(Z11&lt;0,O11&gt;=0)),"nm",IF(AND(Z11&lt;0,O11&lt;0),IF(-(Z11/O11-1)*100&lt;-100,"(&gt;100)",-(Z11/O11-1)*100),IF((Z11/O11-1)*100&gt;100,"&gt;100",(Z11/O11-1)*100))))</f>
        <v>-100</v>
      </c>
      <c r="AE11" s="143"/>
      <c r="AF11" s="121">
        <f t="shared" si="3"/>
        <v>0</v>
      </c>
    </row>
    <row r="12" spans="2:32" ht="14.25" hidden="1">
      <c r="B12" s="102" t="s">
        <v>53</v>
      </c>
      <c r="C12" s="20"/>
      <c r="D12" s="121">
        <v>989</v>
      </c>
      <c r="E12" s="121">
        <v>974</v>
      </c>
      <c r="F12" s="121">
        <v>1360</v>
      </c>
      <c r="H12" s="165"/>
      <c r="I12" s="160"/>
      <c r="J12" s="121">
        <v>261</v>
      </c>
      <c r="K12" s="121">
        <v>265</v>
      </c>
      <c r="L12" s="121">
        <v>301</v>
      </c>
      <c r="M12" s="121">
        <v>146</v>
      </c>
      <c r="N12" s="121">
        <v>208</v>
      </c>
      <c r="O12" s="121">
        <v>401</v>
      </c>
      <c r="P12" s="121">
        <v>410</v>
      </c>
      <c r="Q12" s="121">
        <v>341</v>
      </c>
      <c r="R12" s="121">
        <v>523</v>
      </c>
      <c r="Z12" s="477"/>
      <c r="AA12" s="121">
        <f>IF(AND(Z12=0,R12=0),0,IF(OR(AND(Z12&gt;0,R12&lt;=0),AND(Z12&lt;0,R12&gt;=0)),"nm",IF(AND(Z12&lt;0,R12&lt;0),IF(-(Z12/R12-1)*100&lt;-100,"(&gt;100)",-(Z12/R12-1)*100),IF((Z12/R12-1)*100&gt;100,"&gt;100",(Z12/R12-1)*100))))</f>
        <v>-100</v>
      </c>
      <c r="AB12" s="121">
        <f>IF(AND(Z12=0,O12=0),0,IF(OR(AND(Z12&gt;0,O12&lt;=0),AND(Z12&lt;0,O12&gt;=0)),"nm",IF(AND(Z12&lt;0,O12&lt;0),IF(-(Z12/O12-1)*100&lt;-100,"(&gt;100)",-(Z12/O12-1)*100),IF((Z12/O12-1)*100&gt;100,"&gt;100",(Z12/O12-1)*100))))</f>
        <v>-100</v>
      </c>
      <c r="AE12" s="143"/>
      <c r="AF12" s="121">
        <f t="shared" si="3"/>
        <v>0</v>
      </c>
    </row>
    <row r="13" spans="3:31" ht="14.25">
      <c r="C13" s="20"/>
      <c r="D13" s="121"/>
      <c r="N13" s="171"/>
      <c r="O13" s="171"/>
      <c r="P13" s="171"/>
      <c r="Q13" s="171"/>
      <c r="R13" s="171"/>
      <c r="S13" s="171"/>
      <c r="T13" s="171"/>
      <c r="U13" s="171"/>
      <c r="V13" s="171"/>
      <c r="W13" s="171"/>
      <c r="X13" s="171"/>
      <c r="Y13" s="171"/>
      <c r="Z13" s="477"/>
      <c r="AD13" s="165"/>
      <c r="AE13" s="143"/>
    </row>
    <row r="14" spans="1:32" s="24" customFormat="1" ht="14.25" customHeight="1">
      <c r="A14" s="88" t="s">
        <v>108</v>
      </c>
      <c r="B14" s="31"/>
      <c r="D14" s="17"/>
      <c r="E14" s="17"/>
      <c r="F14" s="17"/>
      <c r="G14" s="17"/>
      <c r="H14" s="17"/>
      <c r="I14" s="17"/>
      <c r="J14" s="17"/>
      <c r="K14" s="17"/>
      <c r="L14" s="17"/>
      <c r="M14" s="17"/>
      <c r="N14" s="170"/>
      <c r="O14" s="170"/>
      <c r="P14" s="170"/>
      <c r="Q14" s="170"/>
      <c r="R14" s="170"/>
      <c r="S14" s="170"/>
      <c r="T14" s="170"/>
      <c r="U14" s="170"/>
      <c r="V14" s="170"/>
      <c r="W14" s="170"/>
      <c r="X14" s="170"/>
      <c r="Y14" s="170"/>
      <c r="Z14" s="125"/>
      <c r="AA14" s="17"/>
      <c r="AB14" s="17"/>
      <c r="AC14" s="17"/>
      <c r="AD14" s="169"/>
      <c r="AE14" s="144"/>
      <c r="AF14" s="17"/>
    </row>
    <row r="15" spans="2:32" ht="14.25">
      <c r="B15" s="101" t="s">
        <v>72</v>
      </c>
      <c r="C15" s="20"/>
      <c r="D15" s="121">
        <v>100029</v>
      </c>
      <c r="E15" s="121">
        <v>100649</v>
      </c>
      <c r="F15" s="121">
        <v>118572</v>
      </c>
      <c r="G15" s="121">
        <v>165930</v>
      </c>
      <c r="H15" s="121">
        <v>177073</v>
      </c>
      <c r="J15" s="121">
        <v>103804</v>
      </c>
      <c r="K15" s="121">
        <v>101200</v>
      </c>
      <c r="L15" s="121">
        <v>100458</v>
      </c>
      <c r="M15" s="121">
        <v>100649</v>
      </c>
      <c r="N15" s="75">
        <v>100758</v>
      </c>
      <c r="O15" s="75">
        <v>113994</v>
      </c>
      <c r="P15" s="75">
        <v>115390</v>
      </c>
      <c r="Q15" s="75">
        <v>118572</v>
      </c>
      <c r="R15" s="75">
        <v>125510</v>
      </c>
      <c r="S15" s="75">
        <v>135095</v>
      </c>
      <c r="T15" s="75">
        <v>157624</v>
      </c>
      <c r="U15" s="75">
        <v>165930</v>
      </c>
      <c r="V15" s="504">
        <f>167830-2108</f>
        <v>165722</v>
      </c>
      <c r="W15" s="504">
        <f>174281-1929</f>
        <v>172352</v>
      </c>
      <c r="X15" s="504">
        <f>171728-2158</f>
        <v>169570</v>
      </c>
      <c r="Y15" s="504">
        <f>177073-1744</f>
        <v>175329</v>
      </c>
      <c r="Z15" s="122">
        <v>189044</v>
      </c>
      <c r="AA15" s="121">
        <f>IF(AND(Z15=0,Y15=0),0,IF(OR(AND(Z15&gt;0,Y15&lt;=0),AND(Z15&lt;0,Y15&gt;=0)),"nm",IF(AND(Z15&lt;0,Y15&lt;0),IF(-(Z15/Y15-1)*100&lt;-100,"(&gt;100)",-(Z15/Y15-1)*100),IF((Z15/Y15-1)*100&gt;100,"&gt;100",(Z15/Y15-1)*100))))</f>
        <v>7.822436676191624</v>
      </c>
      <c r="AB15" s="121">
        <f>IF(AND(Z15=0,V15=0),0,IF(OR(AND(Z15&gt;0,V15&lt;=0),AND(Z15&lt;0,V15&gt;=0)),"nm",IF(AND(Z15&lt;0,V15&lt;0),IF(-(Z15/V15-1)*100&lt;-100,"(&gt;100)",-(Z15/V15-1)*100),IF((Z15/V15-1)*100&gt;100,"&gt;100",(Z15/V15-1)*100))))</f>
        <v>14.072965568844209</v>
      </c>
      <c r="AD15" s="121">
        <v>165930</v>
      </c>
      <c r="AE15" s="122">
        <f>Z15</f>
        <v>189044</v>
      </c>
      <c r="AF15" s="121">
        <f>IF(AND(AE15=0,AD15=0),0,IF(OR(AND(AE15&gt;0,AD15&lt;=0),AND(AE15&lt;0,AD15&gt;=0)),"nm",IF(AND(AE15&lt;0,AD15&lt;0),IF(-(AE15/AD15-1)*100&lt;-100,"(&gt;100)",-(AE15/AD15-1)*100),IF((AE15/AD15-1)*100&gt;100,"&gt;100",(AE15/AD15-1)*100))))</f>
        <v>13.929970469475084</v>
      </c>
    </row>
    <row r="16" spans="2:32" ht="14.25">
      <c r="B16" s="101" t="s">
        <v>11</v>
      </c>
      <c r="C16" s="20"/>
      <c r="D16" s="121">
        <v>61671</v>
      </c>
      <c r="E16" s="121">
        <v>69084</v>
      </c>
      <c r="F16" s="121">
        <v>80559</v>
      </c>
      <c r="G16" s="121">
        <v>103977</v>
      </c>
      <c r="H16" s="121">
        <v>103450</v>
      </c>
      <c r="J16" s="121">
        <v>63846</v>
      </c>
      <c r="K16" s="121">
        <v>60919</v>
      </c>
      <c r="L16" s="121">
        <v>69428</v>
      </c>
      <c r="M16" s="121">
        <v>69084</v>
      </c>
      <c r="N16" s="75">
        <v>64087</v>
      </c>
      <c r="O16" s="75">
        <v>68520</v>
      </c>
      <c r="P16" s="75">
        <v>74842</v>
      </c>
      <c r="Q16" s="75">
        <v>80559</v>
      </c>
      <c r="R16" s="75">
        <v>85494</v>
      </c>
      <c r="S16" s="75">
        <v>88004</v>
      </c>
      <c r="T16" s="75">
        <v>98972</v>
      </c>
      <c r="U16" s="75">
        <v>103977</v>
      </c>
      <c r="V16" s="504">
        <f>104142-2165</f>
        <v>101977</v>
      </c>
      <c r="W16" s="504">
        <f>102904-1670</f>
        <v>101234</v>
      </c>
      <c r="X16" s="504">
        <f>101222-2254</f>
        <v>98968</v>
      </c>
      <c r="Y16" s="504">
        <f>103450-1750</f>
        <v>101700</v>
      </c>
      <c r="Z16" s="122">
        <v>110875</v>
      </c>
      <c r="AA16" s="121">
        <f>IF(AND(Z16=0,Y16=0),0,IF(OR(AND(Z16&gt;0,Y16&lt;=0),AND(Z16&lt;0,Y16&gt;=0)),"nm",IF(AND(Z16&lt;0,Y16&lt;0),IF(-(Z16/Y16-1)*100&lt;-100,"(&gt;100)",-(Z16/Y16-1)*100),IF((Z16/Y16-1)*100&gt;100,"&gt;100",(Z16/Y16-1)*100))))</f>
        <v>9.021632251720746</v>
      </c>
      <c r="AB16" s="121">
        <f>IF(AND(Z16=0,V16=0),0,IF(OR(AND(Z16&gt;0,V16&lt;=0),AND(Z16&lt;0,V16&gt;=0)),"nm",IF(AND(Z16&lt;0,V16&lt;0),IF(-(Z16/V16-1)*100&lt;-100,"(&gt;100)",-(Z16/V16-1)*100),IF((Z16/V16-1)*100&gt;100,"&gt;100",(Z16/V16-1)*100))))</f>
        <v>8.725496925777376</v>
      </c>
      <c r="AD16" s="121">
        <v>103977</v>
      </c>
      <c r="AE16" s="122">
        <f>Z16</f>
        <v>110875</v>
      </c>
      <c r="AF16" s="121">
        <f>IF(AND(AE16=0,AD16=0),0,IF(OR(AND(AE16&gt;0,AD16&lt;=0),AND(AE16&lt;0,AD16&gt;=0)),"nm",IF(AND(AE16&lt;0,AD16&lt;0),IF(-(AE16/AD16-1)*100&lt;-100,"(&gt;100)",-(AE16/AD16-1)*100),IF((AE16/AD16-1)*100&gt;100,"&gt;100",(AE16/AD16-1)*100))))</f>
        <v>6.634159477576773</v>
      </c>
    </row>
    <row r="17" spans="2:32" ht="14.25">
      <c r="B17" s="101" t="s">
        <v>69</v>
      </c>
      <c r="C17" s="20"/>
      <c r="D17" s="121">
        <v>27</v>
      </c>
      <c r="E17" s="121">
        <v>22</v>
      </c>
      <c r="F17" s="121">
        <v>27</v>
      </c>
      <c r="G17" s="121">
        <v>29</v>
      </c>
      <c r="H17" s="121">
        <v>29</v>
      </c>
      <c r="J17" s="121">
        <v>5</v>
      </c>
      <c r="K17" s="121">
        <v>6</v>
      </c>
      <c r="L17" s="121">
        <v>6</v>
      </c>
      <c r="M17" s="121">
        <v>5</v>
      </c>
      <c r="N17" s="75">
        <v>6</v>
      </c>
      <c r="O17" s="75">
        <v>3</v>
      </c>
      <c r="P17" s="75">
        <v>2</v>
      </c>
      <c r="Q17" s="75">
        <v>16</v>
      </c>
      <c r="R17" s="75">
        <v>4</v>
      </c>
      <c r="S17" s="75">
        <v>12</v>
      </c>
      <c r="T17" s="75">
        <v>4</v>
      </c>
      <c r="U17" s="75">
        <v>9</v>
      </c>
      <c r="V17" s="75">
        <v>0</v>
      </c>
      <c r="W17" s="504">
        <f>4-1</f>
        <v>3</v>
      </c>
      <c r="X17" s="504">
        <f>13-5</f>
        <v>8</v>
      </c>
      <c r="Y17" s="504">
        <f>12-11</f>
        <v>1</v>
      </c>
      <c r="Z17" s="122">
        <v>2</v>
      </c>
      <c r="AA17" s="121">
        <f>IF(AND(Z17=0,Y17=0),0,IF(OR(AND(Z17&gt;0,Y17&lt;=0),AND(Z17&lt;0,Y17&gt;=0)),"nm",IF(AND(Z17&lt;0,Y17&lt;0),IF(-(Z17/Y17-1)*100&lt;-100,"(&gt;100)",-(Z17/Y17-1)*100),IF((Z17/Y17-1)*100&gt;100,"&gt;100",(Z17/Y17-1)*100))))</f>
        <v>100</v>
      </c>
      <c r="AB17" s="121" t="str">
        <f>IF(AND(Z17=0,V17=0),0,IF(OR(AND(Z17&gt;0,V17&lt;=0),AND(Z17&lt;0,V17&gt;=0)),"nm",IF(AND(Z17&lt;0,V17&lt;0),IF(-(Z17/V17-1)*100&lt;-100,"(&gt;100)",-(Z17/V17-1)*100),IF((Z17/V17-1)*100&gt;100,"&gt;100",(Z17/V17-1)*100))))</f>
        <v>nm</v>
      </c>
      <c r="AD17" s="121">
        <v>29</v>
      </c>
      <c r="AE17" s="122">
        <f>V17+Z17+W17+X17</f>
        <v>13</v>
      </c>
      <c r="AF17" s="121">
        <f>IF(AND(AE17=0,AD17=0),0,IF(OR(AND(AE17&gt;0,AD17&lt;=0),AND(AE17&lt;0,AD17&gt;=0)),"nm",IF(AND(AE17&lt;0,AD17&lt;0),IF(-(AE17/AD17-1)*100&lt;-100,"(&gt;100)",-(AE17/AD17-1)*100),IF((AE17/AD17-1)*100&gt;100,"&gt;100",(AE17/AD17-1)*100))))</f>
        <v>-55.172413793103445</v>
      </c>
    </row>
    <row r="18" spans="2:32" ht="14.25">
      <c r="B18" s="101" t="s">
        <v>70</v>
      </c>
      <c r="C18" s="20"/>
      <c r="D18" s="121">
        <v>17</v>
      </c>
      <c r="E18" s="121">
        <v>24</v>
      </c>
      <c r="F18" s="121">
        <v>21</v>
      </c>
      <c r="G18" s="121">
        <v>26</v>
      </c>
      <c r="H18" s="121">
        <v>18</v>
      </c>
      <c r="J18" s="121">
        <v>6</v>
      </c>
      <c r="K18" s="121">
        <v>6</v>
      </c>
      <c r="L18" s="121">
        <v>6</v>
      </c>
      <c r="M18" s="121">
        <v>6</v>
      </c>
      <c r="N18" s="75">
        <v>6</v>
      </c>
      <c r="O18" s="75">
        <v>5</v>
      </c>
      <c r="P18" s="75">
        <v>4</v>
      </c>
      <c r="Q18" s="75">
        <v>6</v>
      </c>
      <c r="R18" s="75">
        <v>6</v>
      </c>
      <c r="S18" s="75">
        <v>5</v>
      </c>
      <c r="T18" s="75">
        <v>6</v>
      </c>
      <c r="U18" s="75">
        <v>9</v>
      </c>
      <c r="V18" s="504">
        <f>4-1</f>
        <v>3</v>
      </c>
      <c r="W18" s="504">
        <f>5-1</f>
        <v>4</v>
      </c>
      <c r="X18" s="504">
        <f>4-1</f>
        <v>3</v>
      </c>
      <c r="Y18" s="504">
        <f>5-2</f>
        <v>3</v>
      </c>
      <c r="Z18" s="122">
        <v>2</v>
      </c>
      <c r="AA18" s="121">
        <f>IF(AND(Z18=0,Y18=0),0,IF(OR(AND(Z18&gt;0,Y18&lt;=0),AND(Z18&lt;0,Y18&gt;=0)),"nm",IF(AND(Z18&lt;0,Y18&lt;0),IF(-(Z18/Y18-1)*100&lt;-100,"(&gt;100)",-(Z18/Y18-1)*100),IF((Z18/Y18-1)*100&gt;100,"&gt;100",(Z18/Y18-1)*100))))</f>
        <v>-33.333333333333336</v>
      </c>
      <c r="AB18" s="121">
        <f>IF(AND(Z18=0,V18=0),0,IF(OR(AND(Z18&gt;0,V18&lt;=0),AND(Z18&lt;0,V18&gt;=0)),"nm",IF(AND(Z18&lt;0,V18&lt;0),IF(-(Z18/V18-1)*100&lt;-100,"(&gt;100)",-(Z18/V18-1)*100),IF((Z18/V18-1)*100&gt;100,"&gt;100",(Z18/V18-1)*100))))</f>
        <v>-33.333333333333336</v>
      </c>
      <c r="AD18" s="121">
        <v>26</v>
      </c>
      <c r="AE18" s="122">
        <f>V18+Z18+W18+X18</f>
        <v>12</v>
      </c>
      <c r="AF18" s="121">
        <f>IF(AND(AE18=0,AD18=0),0,IF(OR(AND(AE18&gt;0,AD18&lt;=0),AND(AE18&lt;0,AD18&gt;=0)),"nm",IF(AND(AE18&lt;0,AD18&lt;0),IF(-(AE18/AD18-1)*100&lt;-100,"(&gt;100)",-(AE18/AD18-1)*100),IF((AE18/AD18-1)*100&gt;100,"&gt;100",(AE18/AD18-1)*100))))</f>
        <v>-53.84615384615385</v>
      </c>
    </row>
    <row r="19" spans="3:25" ht="14.25">
      <c r="C19" s="20"/>
      <c r="D19" s="121"/>
      <c r="N19" s="171"/>
      <c r="O19" s="171"/>
      <c r="P19" s="171"/>
      <c r="Q19" s="171"/>
      <c r="R19" s="171"/>
      <c r="S19" s="171"/>
      <c r="T19" s="171"/>
      <c r="U19" s="171"/>
      <c r="V19" s="171"/>
      <c r="W19" s="171"/>
      <c r="X19" s="171"/>
      <c r="Y19" s="171"/>
    </row>
    <row r="20" ht="14.25">
      <c r="D20" s="121"/>
    </row>
    <row r="21" ht="14.25">
      <c r="D21" s="121"/>
    </row>
    <row r="22" ht="14.25">
      <c r="AE22" s="364"/>
    </row>
    <row r="23" ht="14.25">
      <c r="Z23" s="364"/>
    </row>
    <row r="24" ht="14.25">
      <c r="Z24" s="364"/>
    </row>
    <row r="25" ht="14.25">
      <c r="Z25" s="364"/>
    </row>
    <row r="26" ht="14.25">
      <c r="Z26" s="364"/>
    </row>
    <row r="29" ht="14.25">
      <c r="B29" s="513" t="s">
        <v>432</v>
      </c>
    </row>
    <row r="30" ht="14.25">
      <c r="B30" s="513" t="s">
        <v>433</v>
      </c>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12"/>
    <pageSetUpPr fitToPage="1"/>
  </sheetPr>
  <dimension ref="A1:AF27"/>
  <sheetViews>
    <sheetView zoomScale="80" zoomScaleNormal="80" zoomScalePageLayoutView="0" workbookViewId="0" topLeftCell="A1">
      <pane xSplit="3" ySplit="2" topLeftCell="P3" activePane="bottomRight" state="frozen"/>
      <selection pane="topLeft" activeCell="P25" sqref="P25"/>
      <selection pane="topRight" activeCell="P25" sqref="P25"/>
      <selection pane="bottomLeft" activeCell="P25" sqref="P25"/>
      <selection pane="bottomRight" activeCell="Z15" sqref="Z15"/>
    </sheetView>
  </sheetViews>
  <sheetFormatPr defaultColWidth="9.140625" defaultRowHeight="12.75" outlineLevelCol="1"/>
  <cols>
    <col min="1" max="1" width="4.00390625" style="20" customWidth="1"/>
    <col min="2" max="2" width="4.28125" style="20" customWidth="1"/>
    <col min="3" max="3" width="32.57421875" style="5" customWidth="1"/>
    <col min="4" max="4" width="10.28125" style="126" hidden="1" customWidth="1" outlineLevel="1"/>
    <col min="5" max="8" width="10.28125" style="121" hidden="1" customWidth="1" outlineLevel="1"/>
    <col min="9" max="9" width="2.00390625" style="121" hidden="1" customWidth="1" outlineLevel="1"/>
    <col min="10" max="17" width="10.28125" style="121" hidden="1" customWidth="1" outlineLevel="1"/>
    <col min="18" max="19" width="10.28125" style="121" hidden="1" customWidth="1" outlineLevel="1" collapsed="1"/>
    <col min="20" max="21" width="10.28125" style="121" hidden="1" customWidth="1" outlineLevel="1"/>
    <col min="22" max="22" width="10.28125" style="121" customWidth="1" collapsed="1"/>
    <col min="23" max="25" width="10.28125" style="121" customWidth="1"/>
    <col min="26" max="26" width="10.28125" style="122" customWidth="1"/>
    <col min="27" max="28" width="7.7109375" style="121" customWidth="1"/>
    <col min="29" max="29" width="5.421875" style="121" customWidth="1"/>
    <col min="30" max="30" width="9.8515625" style="121" hidden="1" customWidth="1"/>
    <col min="31" max="31" width="10.140625" style="122" hidden="1" customWidth="1"/>
    <col min="32" max="32" width="9.28125" style="121" hidden="1" customWidth="1"/>
    <col min="33" max="33" width="9.57421875" style="20" bestFit="1" customWidth="1"/>
    <col min="34" max="16384" width="9.140625" style="20" customWidth="1"/>
  </cols>
  <sheetData>
    <row r="1" spans="1:32" s="42" customFormat="1" ht="20.25">
      <c r="A1" s="41" t="s">
        <v>333</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65"/>
      <c r="AA3" s="17"/>
      <c r="AB3" s="17"/>
      <c r="AC3" s="17"/>
      <c r="AD3" s="170"/>
      <c r="AE3" s="125"/>
      <c r="AF3" s="17"/>
    </row>
    <row r="4" spans="2:32" ht="14.25">
      <c r="B4" s="101" t="s">
        <v>5</v>
      </c>
      <c r="C4" s="20"/>
      <c r="D4" s="121">
        <v>1121</v>
      </c>
      <c r="E4" s="121">
        <v>1223</v>
      </c>
      <c r="F4" s="121">
        <v>840</v>
      </c>
      <c r="G4" s="121">
        <v>951</v>
      </c>
      <c r="H4" s="121">
        <v>692</v>
      </c>
      <c r="I4" s="160"/>
      <c r="J4" s="75">
        <v>298</v>
      </c>
      <c r="K4" s="121">
        <v>340</v>
      </c>
      <c r="L4" s="121">
        <v>307</v>
      </c>
      <c r="M4" s="121">
        <v>278</v>
      </c>
      <c r="N4" s="121">
        <v>214</v>
      </c>
      <c r="O4" s="121">
        <v>183</v>
      </c>
      <c r="P4" s="121">
        <v>210</v>
      </c>
      <c r="Q4" s="121">
        <v>233</v>
      </c>
      <c r="R4" s="121">
        <v>224</v>
      </c>
      <c r="S4" s="121">
        <v>247</v>
      </c>
      <c r="T4" s="121">
        <v>240</v>
      </c>
      <c r="U4" s="121">
        <v>240</v>
      </c>
      <c r="V4" s="121">
        <v>203</v>
      </c>
      <c r="W4" s="121">
        <v>178</v>
      </c>
      <c r="X4" s="121">
        <v>160</v>
      </c>
      <c r="Y4" s="121">
        <v>151</v>
      </c>
      <c r="Z4" s="122">
        <v>163</v>
      </c>
      <c r="AA4" s="121">
        <f>IF(AND(Z4=0,Y4=0),0,IF(OR(AND(Z4&gt;0,Y4&lt;=0),AND(Z4&lt;0,Y4&gt;=0)),"nm",IF(AND(Z4&lt;0,Y4&lt;0),IF(-(Z4/Y4-1)*100&lt;-100,"(&gt;100)",-(Z4/Y4-1)*100),IF((Z4/Y4-1)*100&gt;100,"&gt;100",(Z4/Y4-1)*100))))</f>
        <v>7.947019867549665</v>
      </c>
      <c r="AB4" s="121">
        <f>IF(AND(Z4=0,V4=0),0,IF(OR(AND(Z4&gt;0,V4&lt;=0),AND(Z4&lt;0,V4&gt;=0)),"nm",IF(AND(Z4&lt;0,V4&lt;0),IF(-(Z4/V4-1)*100&lt;-100,"(&gt;100)",-(Z4/V4-1)*100),IF((Z4/V4-1)*100&gt;100,"&gt;100",(Z4/V4-1)*100))))</f>
        <v>-19.704433497536943</v>
      </c>
      <c r="AD4" s="121">
        <v>951</v>
      </c>
      <c r="AE4" s="122">
        <v>692</v>
      </c>
      <c r="AF4" s="121">
        <f>IF(AND(AE4=0,AD4=0),0,IF(OR(AND(AE4&gt;0,AD4&lt;=0),AND(AE4&lt;0,AD4&gt;=0)),"nm",IF(AND(AE4&lt;0,AD4&lt;0),IF(-(AE4/AD4-1)*100&lt;-100,"(&gt;100)",-(AE4/AD4-1)*100),IF((AE4/AD4-1)*100&gt;100,"&gt;100",(AE4/AD4-1)*100))))</f>
        <v>-27.234490010515245</v>
      </c>
    </row>
    <row r="5" spans="2:32" ht="14.25">
      <c r="B5" s="101" t="s">
        <v>25</v>
      </c>
      <c r="C5" s="20"/>
      <c r="D5" s="121">
        <v>-240</v>
      </c>
      <c r="E5" s="121">
        <v>26</v>
      </c>
      <c r="F5" s="121">
        <v>393</v>
      </c>
      <c r="G5" s="121">
        <v>201</v>
      </c>
      <c r="H5" s="121">
        <v>427</v>
      </c>
      <c r="I5" s="160"/>
      <c r="J5" s="75">
        <v>188</v>
      </c>
      <c r="K5" s="121">
        <v>-46</v>
      </c>
      <c r="L5" s="121">
        <v>-44</v>
      </c>
      <c r="M5" s="121">
        <v>-72</v>
      </c>
      <c r="N5" s="121">
        <v>161</v>
      </c>
      <c r="O5" s="121">
        <v>173</v>
      </c>
      <c r="P5" s="121">
        <v>125</v>
      </c>
      <c r="Q5" s="121">
        <v>-66</v>
      </c>
      <c r="R5" s="121">
        <v>80</v>
      </c>
      <c r="S5" s="121">
        <v>-14</v>
      </c>
      <c r="T5" s="121">
        <v>66</v>
      </c>
      <c r="U5" s="121">
        <v>69</v>
      </c>
      <c r="V5" s="121">
        <v>203</v>
      </c>
      <c r="W5" s="121">
        <v>20</v>
      </c>
      <c r="X5" s="121">
        <v>64</v>
      </c>
      <c r="Y5" s="121">
        <v>140</v>
      </c>
      <c r="Z5" s="122">
        <v>160</v>
      </c>
      <c r="AA5" s="121">
        <f aca="true" t="shared" si="0" ref="AA5:AA10">IF(AND(Z5=0,Y5=0),0,IF(OR(AND(Z5&gt;0,Y5&lt;=0),AND(Z5&lt;0,Y5&gt;=0)),"nm",IF(AND(Z5&lt;0,Y5&lt;0),IF(-(Z5/Y5-1)*100&lt;-100,"(&gt;100)",-(Z5/Y5-1)*100),IF((Z5/Y5-1)*100&gt;100,"&gt;100",(Z5/Y5-1)*100))))</f>
        <v>14.28571428571428</v>
      </c>
      <c r="AB5" s="121">
        <f aca="true" t="shared" si="1" ref="AB5:AB10">IF(AND(Z5=0,V5=0),0,IF(OR(AND(Z5&gt;0,V5&lt;=0),AND(Z5&lt;0,V5&gt;=0)),"nm",IF(AND(Z5&lt;0,V5&lt;0),IF(-(Z5/V5-1)*100&lt;-100,"(&gt;100)",-(Z5/V5-1)*100),IF((Z5/V5-1)*100&gt;100,"&gt;100",(Z5/V5-1)*100))))</f>
        <v>-21.182266009852214</v>
      </c>
      <c r="AD5" s="121">
        <v>201</v>
      </c>
      <c r="AE5" s="122">
        <v>427</v>
      </c>
      <c r="AF5" s="121" t="str">
        <f aca="true" t="shared" si="2" ref="AF5:AF12">IF(AND(AE5=0,AD5=0),0,IF(OR(AND(AE5&gt;0,AD5&lt;=0),AND(AE5&lt;0,AD5&gt;=0)),"nm",IF(AND(AE5&lt;0,AD5&lt;0),IF(-(AE5/AD5-1)*100&lt;-100,"(&gt;100)",-(AE5/AD5-1)*100),IF((AE5/AD5-1)*100&gt;100,"&gt;100",(AE5/AD5-1)*100))))</f>
        <v>&gt;100</v>
      </c>
    </row>
    <row r="6" spans="2:32" ht="14.25">
      <c r="B6" s="101" t="s">
        <v>6</v>
      </c>
      <c r="C6" s="20"/>
      <c r="D6" s="121">
        <v>881</v>
      </c>
      <c r="E6" s="121">
        <v>1249</v>
      </c>
      <c r="F6" s="121">
        <v>1233</v>
      </c>
      <c r="G6" s="121">
        <v>1152</v>
      </c>
      <c r="H6" s="121">
        <v>1119</v>
      </c>
      <c r="I6" s="160"/>
      <c r="J6" s="75">
        <f aca="true" t="shared" si="3" ref="J6:O6">J4+J5</f>
        <v>486</v>
      </c>
      <c r="K6" s="121">
        <f t="shared" si="3"/>
        <v>294</v>
      </c>
      <c r="L6" s="121">
        <f t="shared" si="3"/>
        <v>263</v>
      </c>
      <c r="M6" s="121">
        <f t="shared" si="3"/>
        <v>206</v>
      </c>
      <c r="N6" s="121">
        <f t="shared" si="3"/>
        <v>375</v>
      </c>
      <c r="O6" s="121">
        <f t="shared" si="3"/>
        <v>356</v>
      </c>
      <c r="P6" s="121">
        <v>335</v>
      </c>
      <c r="Q6" s="121">
        <v>167</v>
      </c>
      <c r="R6" s="121">
        <v>304</v>
      </c>
      <c r="S6" s="121">
        <v>233</v>
      </c>
      <c r="T6" s="121">
        <v>306</v>
      </c>
      <c r="U6" s="121">
        <v>309</v>
      </c>
      <c r="V6" s="121">
        <v>406</v>
      </c>
      <c r="W6" s="121">
        <v>198</v>
      </c>
      <c r="X6" s="121">
        <v>224</v>
      </c>
      <c r="Y6" s="121">
        <v>291</v>
      </c>
      <c r="Z6" s="122">
        <v>323</v>
      </c>
      <c r="AA6" s="121">
        <f t="shared" si="0"/>
        <v>10.996563573883167</v>
      </c>
      <c r="AB6" s="121">
        <f t="shared" si="1"/>
        <v>-20.443349753694584</v>
      </c>
      <c r="AD6" s="121">
        <v>1152</v>
      </c>
      <c r="AE6" s="122">
        <f>AE4+AE5</f>
        <v>1119</v>
      </c>
      <c r="AF6" s="121">
        <f t="shared" si="2"/>
        <v>-2.864583333333337</v>
      </c>
    </row>
    <row r="7" spans="2:32" ht="14.25">
      <c r="B7" s="101" t="s">
        <v>0</v>
      </c>
      <c r="C7" s="20"/>
      <c r="D7" s="121">
        <v>350</v>
      </c>
      <c r="E7" s="121">
        <v>324</v>
      </c>
      <c r="F7" s="121">
        <v>368</v>
      </c>
      <c r="G7" s="121">
        <v>420</v>
      </c>
      <c r="H7" s="121">
        <v>462</v>
      </c>
      <c r="I7" s="160"/>
      <c r="J7" s="75">
        <v>96</v>
      </c>
      <c r="K7" s="121">
        <v>89</v>
      </c>
      <c r="L7" s="121">
        <v>78</v>
      </c>
      <c r="M7" s="121">
        <v>62</v>
      </c>
      <c r="N7" s="121">
        <v>81</v>
      </c>
      <c r="O7" s="121">
        <v>90</v>
      </c>
      <c r="P7" s="121">
        <v>96</v>
      </c>
      <c r="Q7" s="121">
        <v>101</v>
      </c>
      <c r="R7" s="121">
        <v>94</v>
      </c>
      <c r="S7" s="121">
        <v>103</v>
      </c>
      <c r="T7" s="121">
        <v>106</v>
      </c>
      <c r="U7" s="121">
        <v>117</v>
      </c>
      <c r="V7" s="121">
        <v>106</v>
      </c>
      <c r="W7" s="121">
        <v>114</v>
      </c>
      <c r="X7" s="121">
        <v>112</v>
      </c>
      <c r="Y7" s="121">
        <v>130</v>
      </c>
      <c r="Z7" s="122">
        <v>110</v>
      </c>
      <c r="AA7" s="121">
        <f t="shared" si="0"/>
        <v>-15.384615384615385</v>
      </c>
      <c r="AB7" s="121">
        <f t="shared" si="1"/>
        <v>3.7735849056603765</v>
      </c>
      <c r="AD7" s="121">
        <v>420</v>
      </c>
      <c r="AE7" s="122">
        <v>462</v>
      </c>
      <c r="AF7" s="121">
        <f t="shared" si="2"/>
        <v>10.000000000000009</v>
      </c>
    </row>
    <row r="8" spans="2:32" ht="14.25">
      <c r="B8" s="101" t="s">
        <v>8</v>
      </c>
      <c r="C8" s="20"/>
      <c r="D8" s="121">
        <v>232</v>
      </c>
      <c r="E8" s="121">
        <v>7</v>
      </c>
      <c r="F8" s="121">
        <v>-2</v>
      </c>
      <c r="G8" s="121">
        <v>2</v>
      </c>
      <c r="H8" s="121">
        <v>-3</v>
      </c>
      <c r="I8" s="160"/>
      <c r="J8" s="75">
        <v>50</v>
      </c>
      <c r="K8" s="121">
        <v>-2</v>
      </c>
      <c r="L8" s="121">
        <v>2</v>
      </c>
      <c r="M8" s="121">
        <v>-43</v>
      </c>
      <c r="N8" s="121">
        <v>5</v>
      </c>
      <c r="O8" s="121">
        <v>0</v>
      </c>
      <c r="P8" s="121">
        <v>-3</v>
      </c>
      <c r="Q8" s="121">
        <v>-4</v>
      </c>
      <c r="R8" s="121">
        <v>7</v>
      </c>
      <c r="S8" s="121">
        <v>-4</v>
      </c>
      <c r="T8" s="121">
        <v>-1</v>
      </c>
      <c r="U8" s="121">
        <v>0</v>
      </c>
      <c r="V8" s="121">
        <v>-1</v>
      </c>
      <c r="W8" s="121">
        <v>-1</v>
      </c>
      <c r="X8" s="121">
        <v>-1</v>
      </c>
      <c r="Y8" s="121">
        <v>0</v>
      </c>
      <c r="Z8" s="122">
        <v>0</v>
      </c>
      <c r="AA8" s="121">
        <f t="shared" si="0"/>
        <v>0</v>
      </c>
      <c r="AB8" s="121">
        <f t="shared" si="1"/>
        <v>-100</v>
      </c>
      <c r="AD8" s="121">
        <v>2</v>
      </c>
      <c r="AE8" s="122">
        <v>-3</v>
      </c>
      <c r="AF8" s="121" t="str">
        <f>IF(AND(AE8=0,AD8=0),0,IF(OR(AND(AE8&gt;0,AD8&lt;=0),AND(AE8&lt;0,AD8&gt;=0)),"nm",IF(AND(AE8&lt;0,AD8&lt;0),IF(-(AE8/AD8-1)*100&lt;-100,"(&gt;100)",-(AE8/AD8-1)*100),IF((AE8/AD8-1)*100&gt;100,"&gt;100",(AE8/AD8-1)*100))))</f>
        <v>nm</v>
      </c>
    </row>
    <row r="9" spans="2:32" ht="14.25">
      <c r="B9" s="102" t="s">
        <v>67</v>
      </c>
      <c r="C9" s="20"/>
      <c r="D9" s="121">
        <v>0</v>
      </c>
      <c r="E9" s="121">
        <v>0</v>
      </c>
      <c r="F9" s="121">
        <v>0</v>
      </c>
      <c r="G9" s="121">
        <v>0</v>
      </c>
      <c r="H9" s="121">
        <v>0</v>
      </c>
      <c r="I9" s="160"/>
      <c r="J9" s="75">
        <v>0</v>
      </c>
      <c r="K9" s="121">
        <v>0</v>
      </c>
      <c r="L9" s="121">
        <v>0</v>
      </c>
      <c r="M9" s="121">
        <v>0</v>
      </c>
      <c r="N9" s="121">
        <v>0</v>
      </c>
      <c r="O9" s="121">
        <v>0</v>
      </c>
      <c r="P9" s="121">
        <v>0</v>
      </c>
      <c r="Q9" s="121">
        <v>0</v>
      </c>
      <c r="R9" s="121">
        <v>0</v>
      </c>
      <c r="S9" s="121">
        <v>0</v>
      </c>
      <c r="T9" s="121">
        <v>0</v>
      </c>
      <c r="U9" s="121">
        <v>0</v>
      </c>
      <c r="V9" s="121">
        <v>0</v>
      </c>
      <c r="W9" s="121">
        <v>0</v>
      </c>
      <c r="X9" s="121">
        <v>0</v>
      </c>
      <c r="Y9" s="121">
        <v>0</v>
      </c>
      <c r="Z9" s="122">
        <v>0</v>
      </c>
      <c r="AA9" s="121">
        <f t="shared" si="0"/>
        <v>0</v>
      </c>
      <c r="AB9" s="121">
        <f t="shared" si="1"/>
        <v>0</v>
      </c>
      <c r="AD9" s="121">
        <v>0</v>
      </c>
      <c r="AE9" s="122">
        <v>0</v>
      </c>
      <c r="AF9" s="121">
        <f t="shared" si="2"/>
        <v>0</v>
      </c>
    </row>
    <row r="10" spans="2:32" ht="14.25">
      <c r="B10" s="102" t="s">
        <v>9</v>
      </c>
      <c r="C10" s="20"/>
      <c r="D10" s="121">
        <v>299</v>
      </c>
      <c r="E10" s="121">
        <v>918</v>
      </c>
      <c r="F10" s="121">
        <v>867</v>
      </c>
      <c r="G10" s="121">
        <v>730</v>
      </c>
      <c r="H10" s="121">
        <v>660</v>
      </c>
      <c r="I10" s="160"/>
      <c r="J10" s="75">
        <f aca="true" t="shared" si="4" ref="J10:O10">J6-J7-J8+J9</f>
        <v>340</v>
      </c>
      <c r="K10" s="121">
        <f t="shared" si="4"/>
        <v>207</v>
      </c>
      <c r="L10" s="121">
        <f t="shared" si="4"/>
        <v>183</v>
      </c>
      <c r="M10" s="121">
        <f t="shared" si="4"/>
        <v>187</v>
      </c>
      <c r="N10" s="121">
        <f t="shared" si="4"/>
        <v>289</v>
      </c>
      <c r="O10" s="121">
        <f t="shared" si="4"/>
        <v>266</v>
      </c>
      <c r="P10" s="121">
        <v>242</v>
      </c>
      <c r="Q10" s="121">
        <v>70</v>
      </c>
      <c r="R10" s="121">
        <v>203</v>
      </c>
      <c r="S10" s="121">
        <v>134</v>
      </c>
      <c r="T10" s="121">
        <v>201</v>
      </c>
      <c r="U10" s="121">
        <v>192</v>
      </c>
      <c r="V10" s="121">
        <v>301</v>
      </c>
      <c r="W10" s="121">
        <v>85</v>
      </c>
      <c r="X10" s="121">
        <v>113</v>
      </c>
      <c r="Y10" s="121">
        <v>161</v>
      </c>
      <c r="Z10" s="122">
        <v>213</v>
      </c>
      <c r="AA10" s="121">
        <f t="shared" si="0"/>
        <v>32.29813664596273</v>
      </c>
      <c r="AB10" s="121">
        <f t="shared" si="1"/>
        <v>-29.2358803986711</v>
      </c>
      <c r="AD10" s="121">
        <v>730</v>
      </c>
      <c r="AE10" s="122">
        <f>AE6-AE7-AE8+AE9</f>
        <v>660</v>
      </c>
      <c r="AF10" s="121">
        <f t="shared" si="2"/>
        <v>-9.589041095890416</v>
      </c>
    </row>
    <row r="11" spans="2:32" ht="14.25" hidden="1">
      <c r="B11" s="102" t="s">
        <v>68</v>
      </c>
      <c r="C11" s="20"/>
      <c r="D11" s="121">
        <v>85</v>
      </c>
      <c r="E11" s="121">
        <v>195</v>
      </c>
      <c r="F11" s="121">
        <v>134</v>
      </c>
      <c r="G11" s="121">
        <v>0</v>
      </c>
      <c r="I11" s="160"/>
      <c r="J11" s="75">
        <v>66</v>
      </c>
      <c r="K11" s="121">
        <v>50</v>
      </c>
      <c r="L11" s="121">
        <v>42</v>
      </c>
      <c r="M11" s="121">
        <v>37</v>
      </c>
      <c r="N11" s="121">
        <v>50</v>
      </c>
      <c r="O11" s="121">
        <v>37</v>
      </c>
      <c r="P11" s="121">
        <v>34</v>
      </c>
      <c r="Q11" s="121">
        <v>13</v>
      </c>
      <c r="R11" s="121">
        <v>34</v>
      </c>
      <c r="S11" s="121">
        <v>0</v>
      </c>
      <c r="T11" s="121">
        <v>0</v>
      </c>
      <c r="U11" s="121">
        <v>-34</v>
      </c>
      <c r="V11" s="121">
        <v>-34</v>
      </c>
      <c r="W11" s="121">
        <v>-34</v>
      </c>
      <c r="X11" s="121">
        <v>-34</v>
      </c>
      <c r="Y11" s="121">
        <v>-34</v>
      </c>
      <c r="Z11" s="477">
        <f>AE11-R11-S11-T11</f>
        <v>-34</v>
      </c>
      <c r="AA11" s="121" t="str">
        <f>IF(AND(Z11=0,R11=0),0,IF(OR(AND(Z11&gt;0,R11&lt;=0),AND(Z11&lt;0,R11&gt;=0)),"nm",IF(AND(Z11&lt;0,R11&lt;0),IF(-(Z11/R11-1)*100&lt;-100,"(&gt;100)",-(Z11/R11-1)*100),IF((Z11/R11-1)*100&gt;100,"&gt;100",(Z11/R11-1)*100))))</f>
        <v>nm</v>
      </c>
      <c r="AB11" s="121" t="str">
        <f>IF(AND(Z11=0,O11=0),0,IF(OR(AND(Z11&gt;0,O11&lt;=0),AND(Z11&lt;0,O11&gt;=0)),"nm",IF(AND(Z11&lt;0,O11&lt;0),IF(-(Z11/O11-1)*100&lt;-100,"(&gt;100)",-(Z11/O11-1)*100),IF((Z11/O11-1)*100&gt;100,"&gt;100",(Z11/O11-1)*100))))</f>
        <v>nm</v>
      </c>
      <c r="AD11" s="121">
        <v>0</v>
      </c>
      <c r="AE11" s="143">
        <v>0</v>
      </c>
      <c r="AF11" s="121">
        <f t="shared" si="2"/>
        <v>0</v>
      </c>
    </row>
    <row r="12" spans="2:32" ht="14.25" hidden="1">
      <c r="B12" s="102" t="s">
        <v>53</v>
      </c>
      <c r="C12" s="20"/>
      <c r="D12" s="121">
        <v>214</v>
      </c>
      <c r="E12" s="121">
        <v>723</v>
      </c>
      <c r="F12" s="121">
        <v>733</v>
      </c>
      <c r="G12" s="121">
        <v>0</v>
      </c>
      <c r="I12" s="160"/>
      <c r="J12" s="75">
        <v>275</v>
      </c>
      <c r="K12" s="121">
        <f>K10-K11</f>
        <v>157</v>
      </c>
      <c r="L12" s="121">
        <f>L10-L11</f>
        <v>141</v>
      </c>
      <c r="M12" s="121">
        <f>M10-M11</f>
        <v>150</v>
      </c>
      <c r="N12" s="121">
        <f>N10-N11</f>
        <v>239</v>
      </c>
      <c r="O12" s="121">
        <f>O10-O11</f>
        <v>229</v>
      </c>
      <c r="P12" s="121">
        <v>208</v>
      </c>
      <c r="Q12" s="121">
        <v>57</v>
      </c>
      <c r="R12" s="121">
        <v>169</v>
      </c>
      <c r="S12" s="121">
        <v>0</v>
      </c>
      <c r="T12" s="121">
        <v>0</v>
      </c>
      <c r="U12" s="121">
        <v>-169</v>
      </c>
      <c r="V12" s="121">
        <v>-169</v>
      </c>
      <c r="W12" s="121">
        <v>-169</v>
      </c>
      <c r="X12" s="121">
        <v>-169</v>
      </c>
      <c r="Y12" s="121">
        <v>-169</v>
      </c>
      <c r="Z12" s="477">
        <f>AE12-R12-S12-T12</f>
        <v>-169</v>
      </c>
      <c r="AA12" s="121" t="str">
        <f>IF(AND(Z12=0,R12=0),0,IF(OR(AND(Z12&gt;0,R12&lt;=0),AND(Z12&lt;0,R12&gt;=0)),"nm",IF(AND(Z12&lt;0,R12&lt;0),IF(-(Z12/R12-1)*100&lt;-100,"(&gt;100)",-(Z12/R12-1)*100),IF((Z12/R12-1)*100&gt;100,"&gt;100",(Z12/R12-1)*100))))</f>
        <v>nm</v>
      </c>
      <c r="AB12" s="121" t="str">
        <f>IF(AND(Z12=0,O12=0),0,IF(OR(AND(Z12&gt;0,O12&lt;=0),AND(Z12&lt;0,O12&gt;=0)),"nm",IF(AND(Z12&lt;0,O12&lt;0),IF(-(Z12/O12-1)*100&lt;-100,"(&gt;100)",-(Z12/O12-1)*100),IF((Z12/O12-1)*100&gt;100,"&gt;100",(Z12/O12-1)*100))))</f>
        <v>nm</v>
      </c>
      <c r="AD12" s="121">
        <v>0</v>
      </c>
      <c r="AE12" s="143">
        <v>0</v>
      </c>
      <c r="AF12" s="121">
        <f t="shared" si="2"/>
        <v>0</v>
      </c>
    </row>
    <row r="13" spans="3:31" ht="14.25">
      <c r="C13" s="20"/>
      <c r="D13" s="121"/>
      <c r="I13" s="160"/>
      <c r="J13" s="160"/>
      <c r="K13" s="160"/>
      <c r="L13" s="160"/>
      <c r="M13" s="160"/>
      <c r="N13" s="160"/>
      <c r="O13" s="160"/>
      <c r="P13" s="160"/>
      <c r="Q13" s="160"/>
      <c r="R13" s="160"/>
      <c r="S13" s="160"/>
      <c r="T13" s="160"/>
      <c r="U13" s="160"/>
      <c r="V13" s="160"/>
      <c r="W13" s="160"/>
      <c r="X13" s="160"/>
      <c r="Y13" s="160"/>
      <c r="Z13" s="477"/>
      <c r="AD13" s="171"/>
      <c r="AE13" s="143"/>
    </row>
    <row r="14" spans="1:32" s="24" customFormat="1" ht="14.25" customHeight="1">
      <c r="A14" s="88" t="s">
        <v>108</v>
      </c>
      <c r="B14" s="31"/>
      <c r="D14" s="162"/>
      <c r="E14" s="162"/>
      <c r="F14" s="162"/>
      <c r="G14" s="162"/>
      <c r="H14" s="162"/>
      <c r="I14" s="17"/>
      <c r="J14" s="17"/>
      <c r="K14" s="17"/>
      <c r="L14" s="17"/>
      <c r="M14" s="17"/>
      <c r="N14" s="169"/>
      <c r="O14" s="169"/>
      <c r="P14" s="169"/>
      <c r="Q14" s="169"/>
      <c r="R14" s="169"/>
      <c r="S14" s="169"/>
      <c r="T14" s="169"/>
      <c r="U14" s="169"/>
      <c r="V14" s="169"/>
      <c r="W14" s="169"/>
      <c r="X14" s="169"/>
      <c r="Y14" s="169"/>
      <c r="Z14" s="478"/>
      <c r="AA14" s="17"/>
      <c r="AB14" s="17"/>
      <c r="AC14" s="17"/>
      <c r="AD14" s="170"/>
      <c r="AE14" s="144"/>
      <c r="AF14" s="17"/>
    </row>
    <row r="15" spans="2:32" ht="14.25">
      <c r="B15" s="101" t="s">
        <v>72</v>
      </c>
      <c r="C15" s="20"/>
      <c r="D15" s="121">
        <v>101595</v>
      </c>
      <c r="E15" s="121">
        <v>97959</v>
      </c>
      <c r="F15" s="121">
        <v>98735</v>
      </c>
      <c r="G15" s="121">
        <v>103900</v>
      </c>
      <c r="H15" s="121">
        <v>75434</v>
      </c>
      <c r="J15" s="121">
        <v>113078</v>
      </c>
      <c r="K15" s="121">
        <v>106363</v>
      </c>
      <c r="L15" s="121">
        <v>100649</v>
      </c>
      <c r="M15" s="121">
        <v>97959</v>
      </c>
      <c r="N15" s="121">
        <v>98434</v>
      </c>
      <c r="O15" s="121">
        <v>100057</v>
      </c>
      <c r="P15" s="121">
        <v>99611</v>
      </c>
      <c r="Q15" s="121">
        <v>98735</v>
      </c>
      <c r="R15" s="121">
        <v>96656</v>
      </c>
      <c r="S15" s="121">
        <v>102305</v>
      </c>
      <c r="T15" s="121">
        <v>109985</v>
      </c>
      <c r="U15" s="121">
        <v>103900</v>
      </c>
      <c r="V15" s="121">
        <v>79895</v>
      </c>
      <c r="W15" s="121">
        <v>78978</v>
      </c>
      <c r="X15" s="121">
        <v>82656</v>
      </c>
      <c r="Y15" s="121">
        <v>75434</v>
      </c>
      <c r="Z15" s="122">
        <v>78063</v>
      </c>
      <c r="AA15" s="121">
        <f>IF(AND(Z15=0,Y15=0),0,IF(OR(AND(Z15&gt;0,Y15&lt;=0),AND(Z15&lt;0,Y15&gt;=0)),"nm",IF(AND(Z15&lt;0,Y15&lt;0),IF(-(Z15/Y15-1)*100&lt;-100,"(&gt;100)",-(Z15/Y15-1)*100),IF((Z15/Y15-1)*100&gt;100,"&gt;100",(Z15/Y15-1)*100))))</f>
        <v>3.4851658403372454</v>
      </c>
      <c r="AB15" s="121">
        <f>IF(AND(Z15=0,V15=0),0,IF(OR(AND(Z15&gt;0,V15&lt;=0),AND(Z15&lt;0,V15&gt;=0)),"nm",IF(AND(Z15&lt;0,V15&lt;0),IF(-(Z15/V15-1)*100&lt;-100,"(&gt;100)",-(Z15/V15-1)*100),IF((Z15/V15-1)*100&gt;100,"&gt;100",(Z15/V15-1)*100))))</f>
        <v>-2.293009575067273</v>
      </c>
      <c r="AD15" s="121">
        <v>103900</v>
      </c>
      <c r="AE15" s="122">
        <f>Z15</f>
        <v>78063</v>
      </c>
      <c r="AF15" s="121">
        <f>IF(AND(AE15=0,AD15=0),0,IF(OR(AND(AE15&gt;0,AD15&lt;=0),AND(AE15&lt;0,AD15&gt;=0)),"nm",IF(AND(AE15&lt;0,AD15&lt;0),IF(-(AE15/AD15-1)*100&lt;-100,"(&gt;100)",-(AE15/AD15-1)*100),IF((AE15/AD15-1)*100&gt;100,"&gt;100",(AE15/AD15-1)*100))))</f>
        <v>-24.86717998075072</v>
      </c>
    </row>
    <row r="16" spans="2:32" ht="14.25">
      <c r="B16" s="101" t="s">
        <v>11</v>
      </c>
      <c r="C16" s="20"/>
      <c r="D16" s="121">
        <v>46715</v>
      </c>
      <c r="E16" s="121">
        <v>31262</v>
      </c>
      <c r="F16" s="121">
        <v>42584</v>
      </c>
      <c r="G16" s="121">
        <v>71166</v>
      </c>
      <c r="H16" s="121">
        <v>75697</v>
      </c>
      <c r="J16" s="121">
        <v>48368</v>
      </c>
      <c r="K16" s="121">
        <v>42296</v>
      </c>
      <c r="L16" s="121">
        <v>32946</v>
      </c>
      <c r="M16" s="121">
        <v>31262</v>
      </c>
      <c r="N16" s="121">
        <v>38180</v>
      </c>
      <c r="O16" s="121">
        <v>49489</v>
      </c>
      <c r="P16" s="121">
        <v>50908</v>
      </c>
      <c r="Q16" s="121">
        <v>42584</v>
      </c>
      <c r="R16" s="121">
        <v>51746</v>
      </c>
      <c r="S16" s="121">
        <v>59869</v>
      </c>
      <c r="T16" s="121">
        <v>75961</v>
      </c>
      <c r="U16" s="121">
        <v>71166</v>
      </c>
      <c r="V16" s="121">
        <v>70425</v>
      </c>
      <c r="W16" s="121">
        <v>77738</v>
      </c>
      <c r="X16" s="121">
        <v>82449</v>
      </c>
      <c r="Y16" s="121">
        <v>75697</v>
      </c>
      <c r="Z16" s="122">
        <v>79439</v>
      </c>
      <c r="AA16" s="121">
        <f>IF(AND(Z16=0,Y16=0),0,IF(OR(AND(Z16&gt;0,Y16&lt;=0),AND(Z16&lt;0,Y16&gt;=0)),"nm",IF(AND(Z16&lt;0,Y16&lt;0),IF(-(Z16/Y16-1)*100&lt;-100,"(&gt;100)",-(Z16/Y16-1)*100),IF((Z16/Y16-1)*100&gt;100,"&gt;100",(Z16/Y16-1)*100))))</f>
        <v>4.943392736832375</v>
      </c>
      <c r="AB16" s="121">
        <f>IF(AND(Z16=0,V16=0),0,IF(OR(AND(Z16&gt;0,V16&lt;=0),AND(Z16&lt;0,V16&gt;=0)),"nm",IF(AND(Z16&lt;0,V16&lt;0),IF(-(Z16/V16-1)*100&lt;-100,"(&gt;100)",-(Z16/V16-1)*100),IF((Z16/V16-1)*100&gt;100,"&gt;100",(Z16/V16-1)*100))))</f>
        <v>12.799432019879298</v>
      </c>
      <c r="AD16" s="121">
        <v>71166</v>
      </c>
      <c r="AE16" s="122">
        <f>Z16</f>
        <v>79439</v>
      </c>
      <c r="AF16" s="121">
        <f>IF(AND(AE16=0,AD16=0),0,IF(OR(AND(AE16&gt;0,AD16&lt;=0),AND(AE16&lt;0,AD16&gt;=0)),"nm",IF(AND(AE16&lt;0,AD16&lt;0),IF(-(AE16/AD16-1)*100&lt;-100,"(&gt;100)",-(AE16/AD16-1)*100),IF((AE16/AD16-1)*100&gt;100,"&gt;100",(AE16/AD16-1)*100))))</f>
        <v>11.624933254644066</v>
      </c>
    </row>
    <row r="17" spans="2:32" ht="14.25">
      <c r="B17" s="101" t="s">
        <v>69</v>
      </c>
      <c r="C17" s="20"/>
      <c r="D17" s="121">
        <v>11</v>
      </c>
      <c r="E17" s="121">
        <v>11</v>
      </c>
      <c r="F17" s="121">
        <v>10</v>
      </c>
      <c r="G17" s="121">
        <v>21</v>
      </c>
      <c r="H17" s="121">
        <v>13</v>
      </c>
      <c r="J17" s="121">
        <v>3</v>
      </c>
      <c r="K17" s="121">
        <v>3</v>
      </c>
      <c r="L17" s="121">
        <v>2</v>
      </c>
      <c r="M17" s="121">
        <v>3</v>
      </c>
      <c r="N17" s="121">
        <v>2</v>
      </c>
      <c r="O17" s="121">
        <v>0</v>
      </c>
      <c r="P17" s="121">
        <v>0</v>
      </c>
      <c r="Q17" s="121">
        <v>8</v>
      </c>
      <c r="R17" s="121">
        <v>1</v>
      </c>
      <c r="S17" s="121">
        <v>7</v>
      </c>
      <c r="T17" s="121">
        <v>5</v>
      </c>
      <c r="U17" s="121">
        <v>8</v>
      </c>
      <c r="V17" s="121">
        <v>0</v>
      </c>
      <c r="W17" s="121">
        <v>0</v>
      </c>
      <c r="X17" s="121">
        <v>0</v>
      </c>
      <c r="Y17" s="121">
        <v>13</v>
      </c>
      <c r="Z17" s="122">
        <v>3</v>
      </c>
      <c r="AA17" s="121">
        <f>IF(AND(Z17=0,Y17=0),0,IF(OR(AND(Z17&gt;0,Y17&lt;=0),AND(Z17&lt;0,Y17&gt;=0)),"nm",IF(AND(Z17&lt;0,Y17&lt;0),IF(-(Z17/Y17-1)*100&lt;-100,"(&gt;100)",-(Z17/Y17-1)*100),IF((Z17/Y17-1)*100&gt;100,"&gt;100",(Z17/Y17-1)*100))))</f>
        <v>-76.92307692307692</v>
      </c>
      <c r="AB17" s="121" t="str">
        <f>IF(AND(Z17=0,V17=0),0,IF(OR(AND(Z17&gt;0,V17&lt;=0),AND(Z17&lt;0,V17&gt;=0)),"nm",IF(AND(Z17&lt;0,V17&lt;0),IF(-(Z17/V17-1)*100&lt;-100,"(&gt;100)",-(Z17/V17-1)*100),IF((Z17/V17-1)*100&gt;100,"&gt;100",(Z17/V17-1)*100))))</f>
        <v>nm</v>
      </c>
      <c r="AD17" s="121">
        <v>21</v>
      </c>
      <c r="AE17" s="122">
        <f>V17+Z17+W17+X17</f>
        <v>3</v>
      </c>
      <c r="AF17" s="121">
        <f>IF(AND(AE17=0,AD17=0),0,IF(OR(AND(AE17&gt;0,AD17&lt;=0),AND(AE17&lt;0,AD17&gt;=0)),"nm",IF(AND(AE17&lt;0,AD17&lt;0),IF(-(AE17/AD17-1)*100&lt;-100,"(&gt;100)",-(AE17/AD17-1)*100),IF((AE17/AD17-1)*100&gt;100,"&gt;100",(AE17/AD17-1)*100))))</f>
        <v>-85.71428571428572</v>
      </c>
    </row>
    <row r="18" spans="2:32" ht="14.25">
      <c r="B18" s="101" t="s">
        <v>70</v>
      </c>
      <c r="C18" s="20"/>
      <c r="D18" s="121">
        <v>5</v>
      </c>
      <c r="E18" s="121">
        <v>7</v>
      </c>
      <c r="F18" s="121">
        <v>9</v>
      </c>
      <c r="G18" s="121">
        <v>13</v>
      </c>
      <c r="H18" s="121">
        <v>7</v>
      </c>
      <c r="J18" s="121">
        <v>1</v>
      </c>
      <c r="K18" s="121">
        <v>2</v>
      </c>
      <c r="L18" s="121">
        <v>2</v>
      </c>
      <c r="M18" s="121">
        <v>2</v>
      </c>
      <c r="N18" s="121">
        <v>2</v>
      </c>
      <c r="O18" s="121">
        <v>2</v>
      </c>
      <c r="P18" s="121">
        <v>3</v>
      </c>
      <c r="Q18" s="121">
        <v>2</v>
      </c>
      <c r="R18" s="121">
        <v>2</v>
      </c>
      <c r="S18" s="121">
        <v>2</v>
      </c>
      <c r="T18" s="121">
        <v>3</v>
      </c>
      <c r="U18" s="121">
        <v>6</v>
      </c>
      <c r="V18" s="121">
        <v>2</v>
      </c>
      <c r="W18" s="121">
        <v>1</v>
      </c>
      <c r="X18" s="121">
        <v>2</v>
      </c>
      <c r="Y18" s="121">
        <v>2</v>
      </c>
      <c r="Z18" s="122">
        <v>2</v>
      </c>
      <c r="AA18" s="121">
        <f>IF(AND(Z18=0,Y18=0),0,IF(OR(AND(Z18&gt;0,Y18&lt;=0),AND(Z18&lt;0,Y18&gt;=0)),"nm",IF(AND(Z18&lt;0,Y18&lt;0),IF(-(Z18/Y18-1)*100&lt;-100,"(&gt;100)",-(Z18/Y18-1)*100),IF((Z18/Y18-1)*100&gt;100,"&gt;100",(Z18/Y18-1)*100))))</f>
        <v>0</v>
      </c>
      <c r="AB18" s="121">
        <f>IF(AND(Z18=0,V18=0),0,IF(OR(AND(Z18&gt;0,V18&lt;=0),AND(Z18&lt;0,V18&gt;=0)),"nm",IF(AND(Z18&lt;0,V18&lt;0),IF(-(Z18/V18-1)*100&lt;-100,"(&gt;100)",-(Z18/V18-1)*100),IF((Z18/V18-1)*100&gt;100,"&gt;100",(Z18/V18-1)*100))))</f>
        <v>0</v>
      </c>
      <c r="AD18" s="121">
        <v>13</v>
      </c>
      <c r="AE18" s="122">
        <f>V18+Z18+W18+X18</f>
        <v>7</v>
      </c>
      <c r="AF18" s="121">
        <f>IF(AND(AE18=0,AD18=0),0,IF(OR(AND(AE18&gt;0,AD18&lt;=0),AND(AE18&lt;0,AD18&gt;=0)),"nm",IF(AND(AE18&lt;0,AD18&lt;0),IF(-(AE18/AD18-1)*100&lt;-100,"(&gt;100)",-(AE18/AD18-1)*100),IF((AE18/AD18-1)*100&gt;100,"&gt;100",(AE18/AD18-1)*100))))</f>
        <v>-46.15384615384615</v>
      </c>
    </row>
    <row r="19" spans="3:4" ht="14.25">
      <c r="C19" s="20"/>
      <c r="D19" s="121"/>
    </row>
    <row r="20" spans="26:31" ht="14.25">
      <c r="Z20" s="364"/>
      <c r="AE20" s="364"/>
    </row>
    <row r="21" spans="26:31" ht="14.25">
      <c r="Z21" s="364"/>
      <c r="AE21" s="364"/>
    </row>
    <row r="22" spans="26:31" ht="14.25">
      <c r="Z22" s="364"/>
      <c r="AE22" s="364"/>
    </row>
    <row r="23" spans="26:31" ht="14.25">
      <c r="Z23" s="364"/>
      <c r="AE23" s="364"/>
    </row>
    <row r="24" spans="26:31" ht="14.25">
      <c r="Z24" s="364"/>
      <c r="AE24" s="364"/>
    </row>
    <row r="25" ht="14.25">
      <c r="Z25" s="364"/>
    </row>
    <row r="26" ht="14.25">
      <c r="Z26" s="364"/>
    </row>
    <row r="27" ht="14.25">
      <c r="Z27" s="364"/>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2"/>
    <pageSetUpPr fitToPage="1"/>
  </sheetPr>
  <dimension ref="A1:AF25"/>
  <sheetViews>
    <sheetView zoomScale="80" zoomScaleNormal="80" zoomScalePageLayoutView="0" workbookViewId="0" topLeftCell="A1">
      <pane xSplit="3" ySplit="2" topLeftCell="N3" activePane="bottomRight" state="frozen"/>
      <selection pane="topLeft" activeCell="P25" sqref="P25"/>
      <selection pane="topRight" activeCell="P25" sqref="P25"/>
      <selection pane="bottomLeft" activeCell="P25" sqref="P25"/>
      <selection pane="bottomRight" activeCell="AI27" sqref="AI27"/>
    </sheetView>
  </sheetViews>
  <sheetFormatPr defaultColWidth="9.140625" defaultRowHeight="12.75" outlineLevelCol="1"/>
  <cols>
    <col min="1" max="1" width="4.00390625" style="20" customWidth="1"/>
    <col min="2" max="2" width="4.28125" style="20" customWidth="1"/>
    <col min="3" max="3" width="32.8515625" style="5" customWidth="1"/>
    <col min="4" max="4" width="9.28125" style="126" hidden="1" customWidth="1" outlineLevel="1"/>
    <col min="5" max="8" width="9.28125" style="121" hidden="1" customWidth="1" outlineLevel="1"/>
    <col min="9" max="9" width="3.28125" style="121" hidden="1" customWidth="1" outlineLevel="1"/>
    <col min="10" max="17" width="9.28125" style="121" hidden="1" customWidth="1" outlineLevel="1"/>
    <col min="18" max="19" width="9.28125" style="121" hidden="1" customWidth="1" outlineLevel="1" collapsed="1"/>
    <col min="20" max="21" width="9.28125" style="121" hidden="1" customWidth="1" outlineLevel="1"/>
    <col min="22" max="22" width="9.28125" style="121" customWidth="1" collapsed="1"/>
    <col min="23" max="25" width="9.28125" style="121" customWidth="1"/>
    <col min="26" max="26" width="9.28125" style="122" customWidth="1"/>
    <col min="27" max="27" width="7.7109375" style="121" bestFit="1" customWidth="1"/>
    <col min="28" max="28" width="8.57421875" style="121" customWidth="1"/>
    <col min="29" max="29" width="5.7109375" style="121" bestFit="1" customWidth="1"/>
    <col min="30" max="30" width="9.28125" style="121" hidden="1" customWidth="1"/>
    <col min="31" max="31" width="9.28125" style="122" hidden="1" customWidth="1"/>
    <col min="32" max="32" width="7.7109375" style="121" hidden="1" customWidth="1"/>
    <col min="33" max="16384" width="9.140625" style="20" customWidth="1"/>
  </cols>
  <sheetData>
    <row r="1" spans="1:32" s="42" customFormat="1" ht="20.25">
      <c r="A1" s="41" t="s">
        <v>35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47" t="s">
        <v>103</v>
      </c>
      <c r="B3" s="31"/>
      <c r="D3" s="8"/>
      <c r="E3" s="17"/>
      <c r="F3" s="17"/>
      <c r="G3" s="17"/>
      <c r="H3" s="17"/>
      <c r="I3" s="17"/>
      <c r="J3" s="17"/>
      <c r="K3" s="17"/>
      <c r="L3" s="17"/>
      <c r="M3" s="17"/>
      <c r="N3" s="170"/>
      <c r="O3" s="170"/>
      <c r="P3" s="170"/>
      <c r="Q3" s="170"/>
      <c r="R3" s="170"/>
      <c r="S3" s="170"/>
      <c r="T3" s="170"/>
      <c r="U3" s="170"/>
      <c r="V3" s="170"/>
      <c r="W3" s="170"/>
      <c r="X3" s="170"/>
      <c r="Y3" s="170"/>
      <c r="Z3" s="365"/>
      <c r="AA3" s="17"/>
      <c r="AB3" s="17"/>
      <c r="AC3" s="17"/>
      <c r="AD3" s="17"/>
      <c r="AE3" s="125"/>
      <c r="AF3" s="17"/>
    </row>
    <row r="4" spans="2:32" ht="14.25">
      <c r="B4" s="38" t="s">
        <v>5</v>
      </c>
      <c r="D4" s="140">
        <v>135</v>
      </c>
      <c r="E4" s="121">
        <v>-11</v>
      </c>
      <c r="F4" s="121">
        <v>85</v>
      </c>
      <c r="G4" s="121">
        <v>111</v>
      </c>
      <c r="H4" s="121">
        <v>399</v>
      </c>
      <c r="I4" s="160"/>
      <c r="J4" s="121">
        <v>18</v>
      </c>
      <c r="K4" s="121">
        <v>-15</v>
      </c>
      <c r="L4" s="121">
        <v>-13</v>
      </c>
      <c r="M4" s="121">
        <v>-1</v>
      </c>
      <c r="N4" s="121">
        <v>19</v>
      </c>
      <c r="O4" s="121">
        <v>28</v>
      </c>
      <c r="P4" s="121">
        <v>26</v>
      </c>
      <c r="Q4" s="121">
        <v>12</v>
      </c>
      <c r="R4" s="121">
        <v>37</v>
      </c>
      <c r="S4" s="121">
        <v>25</v>
      </c>
      <c r="T4" s="121">
        <v>35</v>
      </c>
      <c r="U4" s="121">
        <v>14</v>
      </c>
      <c r="V4" s="121">
        <v>92</v>
      </c>
      <c r="W4" s="494">
        <v>82</v>
      </c>
      <c r="X4" s="494">
        <v>119</v>
      </c>
      <c r="Y4" s="121">
        <v>126</v>
      </c>
      <c r="Z4" s="122">
        <v>87</v>
      </c>
      <c r="AA4" s="75">
        <f aca="true" t="shared" si="0" ref="AA4:AA10">IF(AND(Z4=0,Y4=0),0,IF(OR(AND(Z4&gt;0,Y4&lt;=0),AND(Z4&lt;0,Y4&gt;=0)),"nm",IF(AND(Z4&lt;0,Y4&lt;0),IF(-(Z4/Y4-1)*100&lt;-100,"(&gt;100)",-(Z4/Y4-1)*100),IF((Z4/Y4-1)*100&gt;100,"&gt;100",(Z4/Y4-1)*100))))</f>
        <v>-30.952380952380953</v>
      </c>
      <c r="AB4" s="75">
        <f aca="true" t="shared" si="1" ref="AB4:AB10">IF(AND(Z4=0,V4=0),0,IF(OR(AND(Z4&gt;0,V4&lt;=0),AND(Z4&lt;0,V4&gt;=0)),"nm",IF(AND(Z4&lt;0,V4&lt;0),IF(-(Z4/V4-1)*100&lt;-100,"(&gt;100)",-(Z4/V4-1)*100),IF((Z4/V4-1)*100&gt;100,"&gt;100",(Z4/V4-1)*100))))</f>
        <v>-5.434782608695654</v>
      </c>
      <c r="AC4" s="75"/>
      <c r="AD4" s="121">
        <v>111</v>
      </c>
      <c r="AE4" s="122">
        <v>399</v>
      </c>
      <c r="AF4" s="121" t="str">
        <f aca="true" t="shared" si="2" ref="AF4:AF12">IF(AND(AE4=0,AD4=0),0,IF(OR(AND(AE4&gt;0,AD4&lt;=0),AND(AE4&lt;0,AD4&gt;=0)),"nm",IF(AND(AE4&lt;0,AD4&lt;0),IF(-(AE4/AD4-1)*100&lt;-100,"(&gt;100)",-(AE4/AD4-1)*100),IF((AE4/AD4-1)*100&gt;100,"&gt;100",(AE4/AD4-1)*100))))</f>
        <v>&gt;100</v>
      </c>
    </row>
    <row r="5" spans="2:32" ht="14.25">
      <c r="B5" s="38" t="s">
        <v>25</v>
      </c>
      <c r="D5" s="140">
        <v>64</v>
      </c>
      <c r="E5" s="121">
        <v>185</v>
      </c>
      <c r="F5" s="121">
        <v>170</v>
      </c>
      <c r="G5" s="121">
        <v>154</v>
      </c>
      <c r="H5" s="121">
        <v>-66</v>
      </c>
      <c r="I5" s="160"/>
      <c r="J5" s="121">
        <v>-79</v>
      </c>
      <c r="K5" s="121">
        <v>227</v>
      </c>
      <c r="L5" s="121">
        <v>-1</v>
      </c>
      <c r="M5" s="121">
        <v>38</v>
      </c>
      <c r="N5" s="121">
        <v>-1</v>
      </c>
      <c r="O5" s="121">
        <v>-10</v>
      </c>
      <c r="P5" s="121">
        <v>42</v>
      </c>
      <c r="Q5" s="121">
        <v>139</v>
      </c>
      <c r="R5" s="121">
        <v>68</v>
      </c>
      <c r="S5" s="121">
        <v>31</v>
      </c>
      <c r="T5" s="121">
        <v>23</v>
      </c>
      <c r="U5" s="121">
        <v>32</v>
      </c>
      <c r="V5" s="121">
        <v>-3</v>
      </c>
      <c r="W5" s="494">
        <v>24</v>
      </c>
      <c r="X5" s="494">
        <v>17</v>
      </c>
      <c r="Y5" s="121">
        <v>36</v>
      </c>
      <c r="Z5" s="122">
        <v>83</v>
      </c>
      <c r="AA5" s="75" t="str">
        <f t="shared" si="0"/>
        <v>&gt;100</v>
      </c>
      <c r="AB5" s="75" t="str">
        <f t="shared" si="1"/>
        <v>nm</v>
      </c>
      <c r="AC5" s="75"/>
      <c r="AD5" s="121">
        <v>154</v>
      </c>
      <c r="AE5" s="122">
        <v>-66</v>
      </c>
      <c r="AF5" s="121" t="str">
        <f t="shared" si="2"/>
        <v>nm</v>
      </c>
    </row>
    <row r="6" spans="2:32" ht="14.25">
      <c r="B6" s="38" t="s">
        <v>6</v>
      </c>
      <c r="D6" s="140">
        <v>199</v>
      </c>
      <c r="E6" s="121">
        <v>174</v>
      </c>
      <c r="F6" s="121">
        <v>255</v>
      </c>
      <c r="G6" s="121">
        <v>265</v>
      </c>
      <c r="H6" s="121">
        <v>333</v>
      </c>
      <c r="I6" s="160"/>
      <c r="J6" s="121">
        <f aca="true" t="shared" si="3" ref="J6:O6">J4+J5</f>
        <v>-61</v>
      </c>
      <c r="K6" s="121">
        <f t="shared" si="3"/>
        <v>212</v>
      </c>
      <c r="L6" s="121">
        <f t="shared" si="3"/>
        <v>-14</v>
      </c>
      <c r="M6" s="121">
        <f t="shared" si="3"/>
        <v>37</v>
      </c>
      <c r="N6" s="121">
        <f t="shared" si="3"/>
        <v>18</v>
      </c>
      <c r="O6" s="121">
        <f t="shared" si="3"/>
        <v>18</v>
      </c>
      <c r="P6" s="121">
        <v>68</v>
      </c>
      <c r="Q6" s="121">
        <v>151</v>
      </c>
      <c r="R6" s="121">
        <v>105</v>
      </c>
      <c r="S6" s="121">
        <v>56</v>
      </c>
      <c r="T6" s="121">
        <v>58</v>
      </c>
      <c r="U6" s="121">
        <v>46</v>
      </c>
      <c r="V6" s="121">
        <v>89</v>
      </c>
      <c r="W6" s="494">
        <v>106</v>
      </c>
      <c r="X6" s="494">
        <v>136</v>
      </c>
      <c r="Y6" s="121">
        <v>162</v>
      </c>
      <c r="Z6" s="122">
        <v>170</v>
      </c>
      <c r="AA6" s="75">
        <f t="shared" si="0"/>
        <v>4.938271604938271</v>
      </c>
      <c r="AB6" s="75">
        <f t="shared" si="1"/>
        <v>91.01123595505618</v>
      </c>
      <c r="AC6" s="75"/>
      <c r="AD6" s="121">
        <v>265</v>
      </c>
      <c r="AE6" s="122">
        <f>AE4+AE5</f>
        <v>333</v>
      </c>
      <c r="AF6" s="121">
        <f t="shared" si="2"/>
        <v>25.66037735849056</v>
      </c>
    </row>
    <row r="7" spans="2:32" ht="14.25">
      <c r="B7" s="38" t="s">
        <v>0</v>
      </c>
      <c r="D7" s="140">
        <v>14</v>
      </c>
      <c r="E7" s="121">
        <v>71</v>
      </c>
      <c r="F7" s="121">
        <v>-33</v>
      </c>
      <c r="G7" s="121">
        <v>3</v>
      </c>
      <c r="H7" s="121">
        <v>134</v>
      </c>
      <c r="I7" s="160"/>
      <c r="J7" s="121">
        <v>52</v>
      </c>
      <c r="K7" s="121">
        <v>7</v>
      </c>
      <c r="L7" s="121">
        <v>29</v>
      </c>
      <c r="M7" s="121">
        <v>-18</v>
      </c>
      <c r="N7" s="121">
        <v>24</v>
      </c>
      <c r="O7" s="121">
        <v>5</v>
      </c>
      <c r="P7" s="121">
        <v>-9</v>
      </c>
      <c r="Q7" s="121">
        <v>-53</v>
      </c>
      <c r="R7" s="121">
        <v>21</v>
      </c>
      <c r="S7" s="121">
        <v>0</v>
      </c>
      <c r="T7" s="121">
        <v>19</v>
      </c>
      <c r="U7" s="121">
        <v>-37</v>
      </c>
      <c r="V7" s="121">
        <v>146</v>
      </c>
      <c r="W7" s="494">
        <v>65</v>
      </c>
      <c r="X7" s="494">
        <v>63</v>
      </c>
      <c r="Y7" s="121">
        <v>6</v>
      </c>
      <c r="Z7" s="122">
        <v>123</v>
      </c>
      <c r="AA7" s="75" t="str">
        <f t="shared" si="0"/>
        <v>&gt;100</v>
      </c>
      <c r="AB7" s="75">
        <f t="shared" si="1"/>
        <v>-15.753424657534243</v>
      </c>
      <c r="AC7" s="75"/>
      <c r="AD7" s="121">
        <v>3</v>
      </c>
      <c r="AE7" s="122">
        <v>134</v>
      </c>
      <c r="AF7" s="121" t="str">
        <f t="shared" si="2"/>
        <v>&gt;100</v>
      </c>
    </row>
    <row r="8" spans="2:32" ht="14.25">
      <c r="B8" s="38" t="s">
        <v>8</v>
      </c>
      <c r="D8" s="140">
        <v>-119</v>
      </c>
      <c r="E8" s="121">
        <v>322</v>
      </c>
      <c r="F8" s="121">
        <v>46</v>
      </c>
      <c r="G8" s="121">
        <v>196</v>
      </c>
      <c r="H8" s="121">
        <v>115</v>
      </c>
      <c r="I8" s="160"/>
      <c r="J8" s="121">
        <v>118</v>
      </c>
      <c r="K8" s="121">
        <v>185</v>
      </c>
      <c r="L8" s="121">
        <v>0</v>
      </c>
      <c r="M8" s="121">
        <v>19</v>
      </c>
      <c r="N8" s="121">
        <v>10</v>
      </c>
      <c r="O8" s="121">
        <v>6</v>
      </c>
      <c r="P8" s="121">
        <v>34</v>
      </c>
      <c r="Q8" s="121">
        <v>-4</v>
      </c>
      <c r="R8" s="121">
        <v>46</v>
      </c>
      <c r="S8" s="121">
        <v>43</v>
      </c>
      <c r="T8" s="121">
        <v>78</v>
      </c>
      <c r="U8" s="121">
        <v>29</v>
      </c>
      <c r="V8" s="121">
        <v>51</v>
      </c>
      <c r="W8" s="494">
        <v>7</v>
      </c>
      <c r="X8" s="494">
        <v>46</v>
      </c>
      <c r="Y8" s="121">
        <v>8</v>
      </c>
      <c r="Z8" s="122">
        <v>32</v>
      </c>
      <c r="AA8" s="75" t="str">
        <f t="shared" si="0"/>
        <v>&gt;100</v>
      </c>
      <c r="AB8" s="75">
        <f t="shared" si="1"/>
        <v>-37.254901960784316</v>
      </c>
      <c r="AC8" s="75"/>
      <c r="AD8" s="121">
        <v>196</v>
      </c>
      <c r="AE8" s="122">
        <v>115</v>
      </c>
      <c r="AF8" s="121">
        <f t="shared" si="2"/>
        <v>-41.326530612244895</v>
      </c>
    </row>
    <row r="9" spans="2:32" ht="14.25">
      <c r="B9" s="39" t="s">
        <v>67</v>
      </c>
      <c r="D9" s="140">
        <v>56</v>
      </c>
      <c r="E9" s="121">
        <v>38</v>
      </c>
      <c r="F9" s="121">
        <v>77</v>
      </c>
      <c r="G9" s="121">
        <v>106</v>
      </c>
      <c r="H9" s="121">
        <v>118</v>
      </c>
      <c r="I9" s="160"/>
      <c r="J9" s="121">
        <v>15</v>
      </c>
      <c r="K9" s="121">
        <v>7</v>
      </c>
      <c r="L9" s="121">
        <v>19</v>
      </c>
      <c r="M9" s="121">
        <v>-3</v>
      </c>
      <c r="N9" s="121">
        <v>16</v>
      </c>
      <c r="O9" s="121">
        <v>17</v>
      </c>
      <c r="P9" s="121">
        <v>25</v>
      </c>
      <c r="Q9" s="121">
        <v>19</v>
      </c>
      <c r="R9" s="121">
        <v>17</v>
      </c>
      <c r="S9" s="121">
        <v>24</v>
      </c>
      <c r="T9" s="121">
        <v>31</v>
      </c>
      <c r="U9" s="121">
        <v>34</v>
      </c>
      <c r="V9" s="121">
        <v>39</v>
      </c>
      <c r="W9" s="494">
        <v>36</v>
      </c>
      <c r="X9" s="494">
        <v>28</v>
      </c>
      <c r="Y9" s="121">
        <v>21</v>
      </c>
      <c r="Z9" s="122">
        <v>27</v>
      </c>
      <c r="AA9" s="75">
        <f t="shared" si="0"/>
        <v>28.57142857142858</v>
      </c>
      <c r="AB9" s="75">
        <f t="shared" si="1"/>
        <v>-30.76923076923077</v>
      </c>
      <c r="AC9" s="75"/>
      <c r="AD9" s="121">
        <v>106</v>
      </c>
      <c r="AE9" s="122">
        <v>118</v>
      </c>
      <c r="AF9" s="121">
        <f t="shared" si="2"/>
        <v>11.32075471698113</v>
      </c>
    </row>
    <row r="10" spans="2:32" ht="14.25">
      <c r="B10" s="39" t="s">
        <v>9</v>
      </c>
      <c r="D10" s="140">
        <v>360</v>
      </c>
      <c r="E10" s="121">
        <v>-181</v>
      </c>
      <c r="F10" s="121">
        <v>319</v>
      </c>
      <c r="G10" s="121">
        <v>172</v>
      </c>
      <c r="H10" s="121">
        <v>202</v>
      </c>
      <c r="I10" s="160"/>
      <c r="J10" s="121">
        <f aca="true" t="shared" si="4" ref="J10:O10">J6-J7-J8+J9</f>
        <v>-216</v>
      </c>
      <c r="K10" s="121">
        <f t="shared" si="4"/>
        <v>27</v>
      </c>
      <c r="L10" s="121">
        <f t="shared" si="4"/>
        <v>-24</v>
      </c>
      <c r="M10" s="121">
        <f t="shared" si="4"/>
        <v>33</v>
      </c>
      <c r="N10" s="121">
        <f t="shared" si="4"/>
        <v>0</v>
      </c>
      <c r="O10" s="121">
        <f t="shared" si="4"/>
        <v>24</v>
      </c>
      <c r="P10" s="121">
        <v>68</v>
      </c>
      <c r="Q10" s="121">
        <v>227</v>
      </c>
      <c r="R10" s="121">
        <v>55</v>
      </c>
      <c r="S10" s="121">
        <v>37</v>
      </c>
      <c r="T10" s="121">
        <v>-8</v>
      </c>
      <c r="U10" s="121">
        <v>88</v>
      </c>
      <c r="V10" s="121">
        <v>-69</v>
      </c>
      <c r="W10" s="494">
        <v>70</v>
      </c>
      <c r="X10" s="494">
        <v>54</v>
      </c>
      <c r="Y10" s="121">
        <v>169</v>
      </c>
      <c r="Z10" s="122">
        <v>42</v>
      </c>
      <c r="AA10" s="75">
        <f t="shared" si="0"/>
        <v>-75.14792899408285</v>
      </c>
      <c r="AB10" s="75" t="str">
        <f t="shared" si="1"/>
        <v>nm</v>
      </c>
      <c r="AC10" s="75"/>
      <c r="AD10" s="121">
        <v>172</v>
      </c>
      <c r="AE10" s="122">
        <f>AE6-AE7-AE8+AE9</f>
        <v>202</v>
      </c>
      <c r="AF10" s="121">
        <f t="shared" si="2"/>
        <v>17.44186046511629</v>
      </c>
    </row>
    <row r="11" spans="2:32" ht="14.25" customHeight="1" hidden="1">
      <c r="B11" s="39" t="s">
        <v>68</v>
      </c>
      <c r="D11" s="140">
        <v>-25</v>
      </c>
      <c r="E11" s="121">
        <v>-216</v>
      </c>
      <c r="F11" s="121">
        <v>-35</v>
      </c>
      <c r="I11" s="160"/>
      <c r="J11" s="121">
        <v>-56</v>
      </c>
      <c r="K11" s="121">
        <v>-32</v>
      </c>
      <c r="L11" s="121">
        <v>-30</v>
      </c>
      <c r="M11" s="121">
        <v>-98</v>
      </c>
      <c r="N11" s="121">
        <v>-12</v>
      </c>
      <c r="O11" s="121">
        <v>-10</v>
      </c>
      <c r="P11" s="121">
        <v>14</v>
      </c>
      <c r="Q11" s="121">
        <v>-27</v>
      </c>
      <c r="R11" s="121">
        <v>-29</v>
      </c>
      <c r="U11" s="121">
        <v>29</v>
      </c>
      <c r="V11" s="121">
        <v>29</v>
      </c>
      <c r="W11" s="121">
        <v>29</v>
      </c>
      <c r="X11" s="121">
        <v>29</v>
      </c>
      <c r="Y11" s="121">
        <v>29</v>
      </c>
      <c r="Z11" s="477">
        <f>AE11-R11-S11-T11</f>
        <v>29</v>
      </c>
      <c r="AA11" s="75" t="str">
        <f>IF(AND(Z11=0,R11=0),0,IF(OR(AND(Z11&gt;0,R11&lt;=0),AND(Z11&lt;0,R11&gt;=0)),"nm",IF(AND(Z11&lt;0,R11&lt;0),IF(-(Z11/R11-1)*100&lt;-100,"(&gt;100)",-(Z11/R11-1)*100),IF((Z11/R11-1)*100&gt;100,"&gt;100",(Z11/R11-1)*100))))</f>
        <v>nm</v>
      </c>
      <c r="AB11" s="75" t="str">
        <f>IF(AND(Z11=0,O11=0),0,IF(OR(AND(Z11&gt;0,O11&lt;=0),AND(Z11&lt;0,O11&gt;=0)),"nm",IF(AND(Z11&lt;0,O11&lt;0),IF(-(Z11/O11-1)*100&lt;-100,"(&gt;100)",-(Z11/O11-1)*100),IF((Z11/O11-1)*100&gt;100,"&gt;100",(Z11/O11-1)*100))))</f>
        <v>nm</v>
      </c>
      <c r="AC11" s="75"/>
      <c r="AD11" s="75"/>
      <c r="AE11" s="143"/>
      <c r="AF11" s="121">
        <f t="shared" si="2"/>
        <v>0</v>
      </c>
    </row>
    <row r="12" spans="2:32" ht="18" customHeight="1" hidden="1">
      <c r="B12" s="39" t="s">
        <v>53</v>
      </c>
      <c r="D12" s="140">
        <v>181</v>
      </c>
      <c r="E12" s="121">
        <v>-205</v>
      </c>
      <c r="F12" s="121">
        <v>99</v>
      </c>
      <c r="I12" s="160"/>
      <c r="J12" s="121">
        <v>-222</v>
      </c>
      <c r="K12" s="121">
        <v>-2</v>
      </c>
      <c r="L12" s="121">
        <v>-54</v>
      </c>
      <c r="M12" s="121">
        <v>73</v>
      </c>
      <c r="N12" s="121">
        <v>-46</v>
      </c>
      <c r="O12" s="121">
        <v>-26</v>
      </c>
      <c r="P12" s="121">
        <v>-6</v>
      </c>
      <c r="Q12" s="121">
        <v>177</v>
      </c>
      <c r="R12" s="121">
        <v>1</v>
      </c>
      <c r="U12" s="121">
        <v>-1</v>
      </c>
      <c r="V12" s="121">
        <v>-1</v>
      </c>
      <c r="W12" s="121">
        <v>-1</v>
      </c>
      <c r="X12" s="121">
        <v>-1</v>
      </c>
      <c r="Y12" s="121">
        <v>-1</v>
      </c>
      <c r="Z12" s="477">
        <f>AE12-R12-S12-T12</f>
        <v>-1</v>
      </c>
      <c r="AA12" s="75" t="str">
        <f>IF(AND(Z12=0,R12=0),0,IF(OR(AND(Z12&gt;0,R12&lt;=0),AND(Z12&lt;0,R12&gt;=0)),"nm",IF(AND(Z12&lt;0,R12&lt;0),IF(-(Z12/R12-1)*100&lt;-100,"(&gt;100)",-(Z12/R12-1)*100),IF((Z12/R12-1)*100&gt;100,"&gt;100",(Z12/R12-1)*100))))</f>
        <v>nm</v>
      </c>
      <c r="AB12" s="75">
        <f>IF(AND(Z12=0,O12=0),0,IF(OR(AND(Z12&gt;0,O12&lt;=0),AND(Z12&lt;0,O12&gt;=0)),"nm",IF(AND(Z12&lt;0,O12&lt;0),IF(-(Z12/O12-1)*100&lt;-100,"(&gt;100)",-(Z12/O12-1)*100),IF((Z12/O12-1)*100&gt;100,"&gt;100",(Z12/O12-1)*100))))</f>
        <v>96.15384615384616</v>
      </c>
      <c r="AC12" s="75"/>
      <c r="AD12" s="75"/>
      <c r="AE12" s="143"/>
      <c r="AF12" s="121">
        <f t="shared" si="2"/>
        <v>0</v>
      </c>
    </row>
    <row r="13" spans="4:31" ht="14.25">
      <c r="D13" s="161"/>
      <c r="E13" s="160"/>
      <c r="F13" s="160"/>
      <c r="G13" s="160"/>
      <c r="I13" s="160"/>
      <c r="J13" s="160"/>
      <c r="L13" s="160"/>
      <c r="M13" s="160"/>
      <c r="N13" s="160"/>
      <c r="O13" s="160"/>
      <c r="P13" s="160"/>
      <c r="Q13" s="160"/>
      <c r="R13" s="160"/>
      <c r="S13" s="160"/>
      <c r="T13" s="160"/>
      <c r="U13" s="160"/>
      <c r="V13" s="160"/>
      <c r="W13" s="160"/>
      <c r="X13" s="160"/>
      <c r="Y13" s="160"/>
      <c r="Z13" s="477"/>
      <c r="AD13" s="165"/>
      <c r="AE13" s="143"/>
    </row>
    <row r="14" spans="1:32" s="24" customFormat="1" ht="14.25" customHeight="1">
      <c r="A14" s="47" t="s">
        <v>108</v>
      </c>
      <c r="B14" s="31"/>
      <c r="D14" s="8"/>
      <c r="E14" s="17"/>
      <c r="F14" s="17"/>
      <c r="G14" s="17"/>
      <c r="H14" s="17"/>
      <c r="I14" s="17"/>
      <c r="J14" s="17"/>
      <c r="K14" s="17"/>
      <c r="L14" s="17"/>
      <c r="M14" s="17"/>
      <c r="N14" s="170"/>
      <c r="O14" s="170"/>
      <c r="P14" s="170"/>
      <c r="Q14" s="170"/>
      <c r="R14" s="170"/>
      <c r="S14" s="170"/>
      <c r="T14" s="170"/>
      <c r="U14" s="170"/>
      <c r="V14" s="170"/>
      <c r="W14" s="170"/>
      <c r="X14" s="170"/>
      <c r="Y14" s="170"/>
      <c r="Z14" s="478"/>
      <c r="AA14" s="17"/>
      <c r="AB14" s="17"/>
      <c r="AC14" s="17"/>
      <c r="AD14" s="169"/>
      <c r="AE14" s="144"/>
      <c r="AF14" s="17"/>
    </row>
    <row r="15" spans="2:32" ht="14.25">
      <c r="B15" s="38" t="s">
        <v>72</v>
      </c>
      <c r="D15" s="121">
        <v>7708</v>
      </c>
      <c r="E15" s="121">
        <v>9095</v>
      </c>
      <c r="F15" s="121">
        <v>10273</v>
      </c>
      <c r="G15" s="121">
        <v>10048</v>
      </c>
      <c r="H15" s="121">
        <v>32492</v>
      </c>
      <c r="J15" s="121">
        <v>10378</v>
      </c>
      <c r="K15" s="121">
        <v>9788</v>
      </c>
      <c r="L15" s="75">
        <f>10815-1</f>
        <v>10814</v>
      </c>
      <c r="M15" s="121">
        <v>9095</v>
      </c>
      <c r="N15" s="75">
        <v>10225</v>
      </c>
      <c r="O15" s="75">
        <v>8150</v>
      </c>
      <c r="P15" s="75">
        <v>9927</v>
      </c>
      <c r="Q15" s="75">
        <v>10273</v>
      </c>
      <c r="R15" s="75">
        <v>13938</v>
      </c>
      <c r="S15" s="75">
        <v>14699</v>
      </c>
      <c r="T15" s="75">
        <v>11290</v>
      </c>
      <c r="U15" s="75">
        <v>10048</v>
      </c>
      <c r="V15" s="504">
        <f>37045+2108</f>
        <v>39153</v>
      </c>
      <c r="W15" s="504">
        <f>34115+1929</f>
        <v>36044</v>
      </c>
      <c r="X15" s="504">
        <f>39711+2158</f>
        <v>41869</v>
      </c>
      <c r="Y15" s="504">
        <f>32492+1744</f>
        <v>34236</v>
      </c>
      <c r="Z15" s="122">
        <v>36014</v>
      </c>
      <c r="AA15" s="121">
        <f>IF(AND(Z15=0,Y15=0),0,IF(OR(AND(Z15&gt;0,Y15&lt;=0),AND(Z15&lt;0,Y15&gt;=0)),"nm",IF(AND(Z15&lt;0,Y15&lt;0),IF(-(Z15/Y15-1)*100&lt;-100,"(&gt;100)",-(Z15/Y15-1)*100),IF((Z15/Y15-1)*100&gt;100,"&gt;100",(Z15/Y15-1)*100))))</f>
        <v>5.193363710713861</v>
      </c>
      <c r="AB15" s="121">
        <f>IF(AND(Z15=0,V15=0),0,IF(OR(AND(Z15&gt;0,V15&lt;=0),AND(Z15&lt;0,V15&gt;=0)),"nm",IF(AND(Z15&lt;0,V15&lt;0),IF(-(Z15/V15-1)*100&lt;-100,"(&gt;100)",-(Z15/V15-1)*100),IF((Z15/V15-1)*100&gt;100,"&gt;100",(Z15/V15-1)*100))))</f>
        <v>-8.017265599060098</v>
      </c>
      <c r="AD15" s="121">
        <v>10048</v>
      </c>
      <c r="AE15" s="122">
        <f>Z15</f>
        <v>36014</v>
      </c>
      <c r="AF15" s="121" t="str">
        <f>IF(AND(AE15=0,AD15=0),0,IF(OR(AND(AE15&gt;0,AD15&lt;=0),AND(AE15&lt;0,AD15&gt;=0)),"nm",IF(AND(AE15&lt;0,AD15&lt;0),IF(-(AE15/AD15-1)*100&lt;-100,"(&gt;100)",-(AE15/AD15-1)*100),IF((AE15/AD15-1)*100&gt;100,"&gt;100",(AE15/AD15-1)*100))))</f>
        <v>&gt;100</v>
      </c>
    </row>
    <row r="16" spans="2:32" ht="14.25">
      <c r="B16" s="38" t="s">
        <v>11</v>
      </c>
      <c r="D16" s="121">
        <v>15798</v>
      </c>
      <c r="E16" s="121">
        <v>13605</v>
      </c>
      <c r="F16" s="121">
        <v>9936</v>
      </c>
      <c r="G16" s="121">
        <v>5160</v>
      </c>
      <c r="H16" s="121">
        <v>1249</v>
      </c>
      <c r="J16" s="121">
        <v>17793</v>
      </c>
      <c r="K16" s="121">
        <v>14930</v>
      </c>
      <c r="L16" s="75">
        <v>13491</v>
      </c>
      <c r="M16" s="121">
        <v>13605</v>
      </c>
      <c r="N16" s="75">
        <v>13859</v>
      </c>
      <c r="O16" s="75">
        <v>12689</v>
      </c>
      <c r="P16" s="75">
        <v>9275</v>
      </c>
      <c r="Q16" s="75">
        <v>9936</v>
      </c>
      <c r="R16" s="75">
        <v>9861</v>
      </c>
      <c r="S16" s="75">
        <v>6911</v>
      </c>
      <c r="T16" s="75">
        <v>4572</v>
      </c>
      <c r="U16" s="75">
        <v>5160</v>
      </c>
      <c r="V16" s="504">
        <f>8680+2165</f>
        <v>10845</v>
      </c>
      <c r="W16" s="504">
        <f>7612+1670</f>
        <v>9282</v>
      </c>
      <c r="X16" s="504">
        <f>7364+2254</f>
        <v>9618</v>
      </c>
      <c r="Y16" s="504">
        <f>1249+1750</f>
        <v>2999</v>
      </c>
      <c r="Z16" s="122">
        <v>8498</v>
      </c>
      <c r="AA16" s="121" t="str">
        <f>IF(AND(Z16=0,Y16=0),0,IF(OR(AND(Z16&gt;0,Y16&lt;=0),AND(Z16&lt;0,Y16&gt;=0)),"nm",IF(AND(Z16&lt;0,Y16&lt;0),IF(-(Z16/Y16-1)*100&lt;-100,"(&gt;100)",-(Z16/Y16-1)*100),IF((Z16/Y16-1)*100&gt;100,"&gt;100",(Z16/Y16-1)*100))))</f>
        <v>&gt;100</v>
      </c>
      <c r="AB16" s="121">
        <f>IF(AND(Z16=0,V16=0),0,IF(OR(AND(Z16&gt;0,V16&lt;=0),AND(Z16&lt;0,V16&gt;=0)),"nm",IF(AND(Z16&lt;0,V16&lt;0),IF(-(Z16/V16-1)*100&lt;-100,"(&gt;100)",-(Z16/V16-1)*100),IF((Z16/V16-1)*100&gt;100,"&gt;100",(Z16/V16-1)*100))))</f>
        <v>-21.641309359151684</v>
      </c>
      <c r="AD16" s="121">
        <v>5160</v>
      </c>
      <c r="AE16" s="122">
        <f>Z16</f>
        <v>8498</v>
      </c>
      <c r="AF16" s="121">
        <f>IF(AND(AE16=0,AD16=0),0,IF(OR(AND(AE16&gt;0,AD16&lt;=0),AND(AE16&lt;0,AD16&gt;=0)),"nm",IF(AND(AE16&lt;0,AD16&lt;0),IF(-(AE16/AD16-1)*100&lt;-100,"(&gt;100)",-(AE16/AD16-1)*100),IF((AE16/AD16-1)*100&gt;100,"&gt;100",(AE16/AD16-1)*100))))</f>
        <v>64.68992248062015</v>
      </c>
    </row>
    <row r="17" spans="2:32" ht="14.25">
      <c r="B17" s="38" t="s">
        <v>69</v>
      </c>
      <c r="D17" s="121">
        <v>194</v>
      </c>
      <c r="E17" s="121">
        <v>118</v>
      </c>
      <c r="F17" s="121">
        <v>92</v>
      </c>
      <c r="G17" s="121">
        <v>96</v>
      </c>
      <c r="H17" s="121">
        <v>239</v>
      </c>
      <c r="J17" s="121">
        <v>37</v>
      </c>
      <c r="K17" s="121">
        <v>8</v>
      </c>
      <c r="L17" s="75">
        <v>36</v>
      </c>
      <c r="M17" s="121">
        <v>37</v>
      </c>
      <c r="N17" s="75">
        <v>7</v>
      </c>
      <c r="O17" s="75">
        <v>19</v>
      </c>
      <c r="P17" s="75">
        <v>22</v>
      </c>
      <c r="Q17" s="75">
        <v>44</v>
      </c>
      <c r="R17" s="75">
        <v>20</v>
      </c>
      <c r="S17" s="75">
        <v>11</v>
      </c>
      <c r="T17" s="75">
        <v>24</v>
      </c>
      <c r="U17" s="75">
        <v>41</v>
      </c>
      <c r="V17" s="504">
        <v>29</v>
      </c>
      <c r="W17" s="504">
        <f>50+1</f>
        <v>51</v>
      </c>
      <c r="X17" s="504">
        <f>60+5</f>
        <v>65</v>
      </c>
      <c r="Y17" s="504">
        <f>100+11</f>
        <v>111</v>
      </c>
      <c r="Z17" s="122">
        <v>18</v>
      </c>
      <c r="AA17" s="121">
        <f>IF(AND(Z17=0,Y17=0),0,IF(OR(AND(Z17&gt;0,Y17&lt;=0),AND(Z17&lt;0,Y17&gt;=0)),"nm",IF(AND(Z17&lt;0,Y17&lt;0),IF(-(Z17/Y17-1)*100&lt;-100,"(&gt;100)",-(Z17/Y17-1)*100),IF((Z17/Y17-1)*100&gt;100,"&gt;100",(Z17/Y17-1)*100))))</f>
        <v>-83.78378378378379</v>
      </c>
      <c r="AB17" s="121">
        <f>IF(AND(Z17=0,V17=0),0,IF(OR(AND(Z17&gt;0,V17&lt;=0),AND(Z17&lt;0,V17&gt;=0)),"nm",IF(AND(Z17&lt;0,V17&lt;0),IF(-(Z17/V17-1)*100&lt;-100,"(&gt;100)",-(Z17/V17-1)*100),IF((Z17/V17-1)*100&gt;100,"&gt;100",(Z17/V17-1)*100))))</f>
        <v>-37.93103448275862</v>
      </c>
      <c r="AD17" s="121">
        <v>96</v>
      </c>
      <c r="AE17" s="122">
        <f>V17+Z17+W17+X17</f>
        <v>163</v>
      </c>
      <c r="AF17" s="121">
        <f>IF(AND(AE17=0,AD17=0),0,IF(OR(AND(AE17&gt;0,AD17&lt;=0),AND(AE17&lt;0,AD17&gt;=0)),"nm",IF(AND(AE17&lt;0,AD17&lt;0),IF(-(AE17/AD17-1)*100&lt;-100,"(&gt;100)",-(AE17/AD17-1)*100),IF((AE17/AD17-1)*100&gt;100,"&gt;100",(AE17/AD17-1)*100))))</f>
        <v>69.79166666666667</v>
      </c>
    </row>
    <row r="18" spans="2:32" ht="14.25">
      <c r="B18" s="38" t="s">
        <v>70</v>
      </c>
      <c r="D18" s="121">
        <v>95</v>
      </c>
      <c r="E18" s="121">
        <v>113</v>
      </c>
      <c r="F18" s="121">
        <v>116</v>
      </c>
      <c r="G18" s="121">
        <v>103</v>
      </c>
      <c r="H18" s="121">
        <v>122</v>
      </c>
      <c r="J18" s="121">
        <v>22</v>
      </c>
      <c r="K18" s="121">
        <v>21</v>
      </c>
      <c r="L18" s="75">
        <f>45-1</f>
        <v>44</v>
      </c>
      <c r="M18" s="121">
        <v>26</v>
      </c>
      <c r="N18" s="75">
        <v>28</v>
      </c>
      <c r="O18" s="75">
        <v>26</v>
      </c>
      <c r="P18" s="75">
        <v>25</v>
      </c>
      <c r="Q18" s="75">
        <v>37</v>
      </c>
      <c r="R18" s="75">
        <v>26</v>
      </c>
      <c r="S18" s="75">
        <v>27</v>
      </c>
      <c r="T18" s="75">
        <v>22</v>
      </c>
      <c r="U18" s="75">
        <v>28</v>
      </c>
      <c r="V18" s="504">
        <f>26+1</f>
        <v>27</v>
      </c>
      <c r="W18" s="504">
        <f>29+1</f>
        <v>30</v>
      </c>
      <c r="X18" s="504">
        <f>30+1</f>
        <v>31</v>
      </c>
      <c r="Y18" s="504">
        <f>37+2</f>
        <v>39</v>
      </c>
      <c r="Z18" s="122">
        <v>42</v>
      </c>
      <c r="AA18" s="121">
        <f>IF(AND(Z18=0,Y18=0),0,IF(OR(AND(Z18&gt;0,Y18&lt;=0),AND(Z18&lt;0,Y18&gt;=0)),"nm",IF(AND(Z18&lt;0,Y18&lt;0),IF(-(Z18/Y18-1)*100&lt;-100,"(&gt;100)",-(Z18/Y18-1)*100),IF((Z18/Y18-1)*100&gt;100,"&gt;100",(Z18/Y18-1)*100))))</f>
        <v>7.692307692307687</v>
      </c>
      <c r="AB18" s="121">
        <f>IF(AND(Z18=0,V18=0),0,IF(OR(AND(Z18&gt;0,V18&lt;=0),AND(Z18&lt;0,V18&gt;=0)),"nm",IF(AND(Z18&lt;0,V18&lt;0),IF(-(Z18/V18-1)*100&lt;-100,"(&gt;100)",-(Z18/V18-1)*100),IF((Z18/V18-1)*100&gt;100,"&gt;100",(Z18/V18-1)*100))))</f>
        <v>55.55555555555556</v>
      </c>
      <c r="AD18" s="121">
        <v>103</v>
      </c>
      <c r="AE18" s="122">
        <f>V18+Z18+W18+X18</f>
        <v>130</v>
      </c>
      <c r="AF18" s="121">
        <f>IF(AND(AE18=0,AD18=0),0,IF(OR(AND(AE18&gt;0,AD18&lt;=0),AND(AE18&lt;0,AD18&gt;=0)),"nm",IF(AND(AE18&lt;0,AD18&lt;0),IF(-(AE18/AD18-1)*100&lt;-100,"(&gt;100)",-(AE18/AD18-1)*100),IF((AE18/AD18-1)*100&gt;100,"&gt;100",(AE18/AD18-1)*100))))</f>
        <v>26.21359223300972</v>
      </c>
    </row>
    <row r="19" spans="12:31" ht="14.25">
      <c r="L19" s="75"/>
      <c r="N19" s="171"/>
      <c r="O19" s="171"/>
      <c r="P19" s="171"/>
      <c r="Q19" s="171"/>
      <c r="R19" s="171"/>
      <c r="S19" s="171"/>
      <c r="T19" s="171"/>
      <c r="U19" s="171"/>
      <c r="V19" s="171"/>
      <c r="W19" s="171"/>
      <c r="X19" s="171"/>
      <c r="Y19" s="171"/>
      <c r="AE19" s="119"/>
    </row>
    <row r="20" ht="14.25">
      <c r="AE20" s="119"/>
    </row>
    <row r="21" ht="14.25">
      <c r="AE21" s="119"/>
    </row>
    <row r="22" ht="14.25">
      <c r="Z22" s="364"/>
    </row>
    <row r="23" ht="14.25">
      <c r="Z23" s="364"/>
    </row>
    <row r="24" ht="14.25">
      <c r="Z24" s="364"/>
    </row>
    <row r="25" ht="14.25">
      <c r="Z25" s="364"/>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43"/>
    <pageSetUpPr fitToPage="1"/>
  </sheetPr>
  <dimension ref="A1:AH45"/>
  <sheetViews>
    <sheetView zoomScale="80" zoomScaleNormal="80" zoomScalePageLayoutView="0" workbookViewId="0" topLeftCell="A1">
      <pane xSplit="3" ySplit="2" topLeftCell="V12" activePane="bottomRight" state="frozen"/>
      <selection pane="topLeft" activeCell="P25" sqref="P25"/>
      <selection pane="topRight" activeCell="P25" sqref="P25"/>
      <selection pane="bottomLeft" activeCell="P25" sqref="P25"/>
      <selection pane="bottomRight" activeCell="Z37" sqref="Z37"/>
    </sheetView>
  </sheetViews>
  <sheetFormatPr defaultColWidth="9.140625" defaultRowHeight="12.75" outlineLevelCol="1"/>
  <cols>
    <col min="1" max="1" width="2.7109375" style="22" customWidth="1"/>
    <col min="2" max="2" width="38.28125" style="10" customWidth="1"/>
    <col min="3" max="3" width="1.421875" style="10" hidden="1" customWidth="1"/>
    <col min="4" max="8" width="10.00390625" style="75" hidden="1" customWidth="1" outlineLevel="1"/>
    <col min="9" max="9" width="2.57421875" style="75" hidden="1" customWidth="1" outlineLevel="1"/>
    <col min="10" max="10" width="10.00390625" style="75" hidden="1" customWidth="1" outlineLevel="1"/>
    <col min="11" max="18" width="9.8515625" style="75" hidden="1" customWidth="1" outlineLevel="1"/>
    <col min="19" max="19" width="9.8515625" style="75" hidden="1" customWidth="1" outlineLevel="1" collapsed="1"/>
    <col min="20" max="21" width="9.8515625" style="75" hidden="1" customWidth="1" outlineLevel="1"/>
    <col min="22" max="22" width="9.8515625" style="75" customWidth="1" collapsed="1"/>
    <col min="23" max="25" width="9.8515625" style="75" customWidth="1"/>
    <col min="26" max="26" width="9.8515625" style="119" bestFit="1" customWidth="1"/>
    <col min="27" max="27" width="7.8515625" style="75" customWidth="1"/>
    <col min="28" max="28" width="8.7109375" style="75" bestFit="1" customWidth="1"/>
    <col min="29" max="29" width="3.57421875" style="75" customWidth="1"/>
    <col min="30" max="30" width="9.8515625" style="75" hidden="1" customWidth="1"/>
    <col min="31" max="31" width="9.28125" style="119" hidden="1" customWidth="1"/>
    <col min="32" max="32" width="8.57421875" style="75" hidden="1" customWidth="1"/>
    <col min="33" max="33" width="9.140625" style="22" customWidth="1"/>
    <col min="34" max="34" width="10.8515625" style="22" bestFit="1" customWidth="1"/>
    <col min="35" max="16384" width="9.140625" style="22" customWidth="1"/>
  </cols>
  <sheetData>
    <row r="1" spans="1:32" s="42" customFormat="1" ht="20.25">
      <c r="A1" s="41" t="s">
        <v>51</v>
      </c>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291" customFormat="1" ht="45">
      <c r="A2" s="515" t="s">
        <v>80</v>
      </c>
      <c r="B2" s="515"/>
      <c r="C2" s="515"/>
      <c r="D2" s="290" t="s">
        <v>60</v>
      </c>
      <c r="E2" s="290" t="s">
        <v>231</v>
      </c>
      <c r="F2" s="290" t="s">
        <v>347</v>
      </c>
      <c r="G2" s="290" t="s">
        <v>366</v>
      </c>
      <c r="H2" s="290" t="s">
        <v>392</v>
      </c>
      <c r="I2" s="290"/>
      <c r="J2" s="290" t="s">
        <v>2</v>
      </c>
      <c r="K2" s="290" t="s">
        <v>3</v>
      </c>
      <c r="L2" s="290" t="s">
        <v>4</v>
      </c>
      <c r="M2" s="290" t="s">
        <v>230</v>
      </c>
      <c r="N2" s="290" t="s">
        <v>331</v>
      </c>
      <c r="O2" s="290" t="s">
        <v>335</v>
      </c>
      <c r="P2" s="290" t="s">
        <v>342</v>
      </c>
      <c r="Q2" s="290" t="s">
        <v>346</v>
      </c>
      <c r="R2" s="290" t="s">
        <v>350</v>
      </c>
      <c r="S2" s="290" t="s">
        <v>355</v>
      </c>
      <c r="T2" s="290" t="s">
        <v>360</v>
      </c>
      <c r="U2" s="290" t="s">
        <v>365</v>
      </c>
      <c r="V2" s="290" t="s">
        <v>367</v>
      </c>
      <c r="W2" s="290" t="s">
        <v>380</v>
      </c>
      <c r="X2" s="290" t="s">
        <v>387</v>
      </c>
      <c r="Y2" s="290" t="s">
        <v>394</v>
      </c>
      <c r="Z2" s="290" t="s">
        <v>408</v>
      </c>
      <c r="AA2" s="290" t="s">
        <v>409</v>
      </c>
      <c r="AB2" s="290" t="s">
        <v>410</v>
      </c>
      <c r="AC2" s="290"/>
      <c r="AD2" s="290" t="s">
        <v>366</v>
      </c>
      <c r="AE2" s="290" t="s">
        <v>392</v>
      </c>
      <c r="AF2" s="290" t="s">
        <v>393</v>
      </c>
    </row>
    <row r="3" spans="2:3" ht="6.75" customHeight="1">
      <c r="B3" s="26"/>
      <c r="C3" s="70"/>
    </row>
    <row r="4" spans="1:31" ht="15">
      <c r="A4" s="71" t="s">
        <v>103</v>
      </c>
      <c r="B4" s="22"/>
      <c r="C4" s="22"/>
      <c r="AE4" s="122"/>
    </row>
    <row r="5" spans="2:34" s="120" customFormat="1" ht="14.25">
      <c r="B5" s="33" t="s">
        <v>5</v>
      </c>
      <c r="C5" s="70"/>
      <c r="D5" s="75">
        <v>4301</v>
      </c>
      <c r="E5" s="75">
        <v>4455</v>
      </c>
      <c r="F5" s="75">
        <v>4318</v>
      </c>
      <c r="G5" s="75">
        <v>4825</v>
      </c>
      <c r="H5" s="121">
        <v>5285</v>
      </c>
      <c r="I5" s="75"/>
      <c r="J5" s="75">
        <v>1076</v>
      </c>
      <c r="K5" s="72">
        <v>1112</v>
      </c>
      <c r="L5" s="72">
        <v>1140</v>
      </c>
      <c r="M5" s="72">
        <v>1127</v>
      </c>
      <c r="N5" s="72">
        <v>1066</v>
      </c>
      <c r="O5" s="72">
        <v>1067</v>
      </c>
      <c r="P5" s="72">
        <v>1079</v>
      </c>
      <c r="Q5" s="72">
        <v>1106</v>
      </c>
      <c r="R5" s="131">
        <v>1122</v>
      </c>
      <c r="S5" s="131">
        <v>1199</v>
      </c>
      <c r="T5" s="131">
        <v>1214</v>
      </c>
      <c r="U5" s="131">
        <v>1290</v>
      </c>
      <c r="V5" s="131">
        <v>1336</v>
      </c>
      <c r="W5" s="131">
        <v>1324</v>
      </c>
      <c r="X5" s="131">
        <v>1332</v>
      </c>
      <c r="Y5" s="131">
        <v>1293</v>
      </c>
      <c r="Z5" s="153">
        <v>1327</v>
      </c>
      <c r="AA5" s="121">
        <f>IF(AND(Z5=0,Y5=0),0,IF(OR(AND(Z5&gt;0,Y5&lt;=0),AND(Z5&lt;0,Y5&gt;=0)),"nm",IF(AND(Z5&lt;0,Y5&lt;0),IF(-(Z5/Y5-1)*100&lt;-100,"(&gt;100)",-(Z5/Y5-1)*100),IF((Z5/Y5-1)*100&gt;100,"&gt;100",(Z5/Y5-1)*100))))</f>
        <v>2.629543696829084</v>
      </c>
      <c r="AB5" s="121">
        <f>IF(AND(Z5=0,V5=0),0,IF(OR(AND(Z5&gt;0,V5&lt;=0),AND(Z5&lt;0,V5&gt;=0)),"nm",IF(AND(Z5&lt;0,V5&lt;0),IF(-(Z5/V5-1)*100&lt;-100,"(&gt;100)",-(Z5/V5-1)*100),IF((Z5/V5-1)*100&gt;100,"&gt;100",(Z5/V5-1)*100))))</f>
        <v>-0.6736526946107824</v>
      </c>
      <c r="AC5" s="121"/>
      <c r="AD5" s="314">
        <v>4825</v>
      </c>
      <c r="AE5" s="384">
        <v>5285</v>
      </c>
      <c r="AF5" s="75">
        <f>IF(AND(AE5=0,AD5=0),0,IF(OR(AND(AE5&gt;0,AD5&lt;=0),AND(AE5&lt;0,AD5&gt;=0)),"nm",IF(AND(AE5&lt;0,AD5&lt;0),IF(-(AE5/AD5-1)*100&lt;-100,"(&gt;100)",-(AE5/AD5-1)*100),IF((AE5/AD5-1)*100&gt;100,"&gt;100",(AE5/AD5-1)*100))))</f>
        <v>9.533678756476682</v>
      </c>
      <c r="AH5" s="131"/>
    </row>
    <row r="6" spans="2:34" s="120" customFormat="1" ht="14.25">
      <c r="B6" s="33" t="s">
        <v>242</v>
      </c>
      <c r="C6" s="70"/>
      <c r="D6" s="75">
        <v>1274</v>
      </c>
      <c r="E6" s="75">
        <v>1394</v>
      </c>
      <c r="F6" s="75">
        <v>1397</v>
      </c>
      <c r="G6" s="75">
        <v>1542</v>
      </c>
      <c r="H6" s="121">
        <v>1579</v>
      </c>
      <c r="I6" s="75"/>
      <c r="J6" s="75">
        <v>317</v>
      </c>
      <c r="K6" s="72">
        <v>358</v>
      </c>
      <c r="L6" s="72">
        <v>361</v>
      </c>
      <c r="M6" s="72">
        <v>358</v>
      </c>
      <c r="N6" s="72">
        <v>341</v>
      </c>
      <c r="O6" s="72">
        <v>358</v>
      </c>
      <c r="P6" s="72">
        <v>340</v>
      </c>
      <c r="Q6" s="72">
        <v>358</v>
      </c>
      <c r="R6" s="131">
        <v>416</v>
      </c>
      <c r="S6" s="131">
        <v>387</v>
      </c>
      <c r="T6" s="131">
        <v>397</v>
      </c>
      <c r="U6" s="131">
        <v>342</v>
      </c>
      <c r="V6" s="131">
        <v>406</v>
      </c>
      <c r="W6" s="131">
        <v>379</v>
      </c>
      <c r="X6" s="131">
        <v>422</v>
      </c>
      <c r="Y6" s="131">
        <v>372</v>
      </c>
      <c r="Z6" s="153">
        <v>507</v>
      </c>
      <c r="AA6" s="121">
        <f aca="true" t="shared" si="0" ref="AA6:AA16">IF(AND(Z6=0,Y6=0),0,IF(OR(AND(Z6&gt;0,Y6&lt;=0),AND(Z6&lt;0,Y6&gt;=0)),"nm",IF(AND(Z6&lt;0,Y6&lt;0),IF(-(Z6/Y6-1)*100&lt;-100,"(&gt;100)",-(Z6/Y6-1)*100),IF((Z6/Y6-1)*100&gt;100,"&gt;100",(Z6/Y6-1)*100))))</f>
        <v>36.29032258064515</v>
      </c>
      <c r="AB6" s="121">
        <f aca="true" t="shared" si="1" ref="AB6:AB16">IF(AND(Z6=0,V6=0),0,IF(OR(AND(Z6&gt;0,V6&lt;=0),AND(Z6&lt;0,V6&gt;=0)),"nm",IF(AND(Z6&lt;0,V6&lt;0),IF(-(Z6/V6-1)*100&lt;-100,"(&gt;100)",-(Z6/V6-1)*100),IF((Z6/V6-1)*100&gt;100,"&gt;100",(Z6/V6-1)*100))))</f>
        <v>24.87684729064039</v>
      </c>
      <c r="AC6" s="121"/>
      <c r="AD6" s="314">
        <v>1542</v>
      </c>
      <c r="AE6" s="384">
        <v>1579</v>
      </c>
      <c r="AF6" s="75">
        <f>IF(AND(AE6=0,AD6=0),0,IF(OR(AND(AE6&gt;0,AD6&lt;=0),AND(AE6&lt;0,AD6&gt;=0)),"nm",IF(AND(AE6&lt;0,AD6&lt;0),IF(-(AE6/AD6-1)*100&lt;-100,"(&gt;100)",-(AE6/AD6-1)*100),IF((AE6/AD6-1)*100&gt;100,"&gt;100",(AE6/AD6-1)*100))))</f>
        <v>2.399481193255504</v>
      </c>
      <c r="AH6" s="131"/>
    </row>
    <row r="7" spans="2:34" s="120" customFormat="1" ht="14.25">
      <c r="B7" s="120" t="s">
        <v>343</v>
      </c>
      <c r="C7" s="33"/>
      <c r="D7" s="75">
        <v>456</v>
      </c>
      <c r="E7" s="75">
        <v>754</v>
      </c>
      <c r="F7" s="75">
        <v>1351</v>
      </c>
      <c r="G7" s="75">
        <v>1264</v>
      </c>
      <c r="H7" s="121">
        <v>1200</v>
      </c>
      <c r="I7" s="75"/>
      <c r="J7" s="75">
        <v>269</v>
      </c>
      <c r="K7" s="72">
        <v>322</v>
      </c>
      <c r="L7" s="72">
        <v>76</v>
      </c>
      <c r="M7" s="72">
        <v>87</v>
      </c>
      <c r="N7" s="72">
        <v>306</v>
      </c>
      <c r="O7" s="72">
        <v>390</v>
      </c>
      <c r="P7" s="72">
        <v>390</v>
      </c>
      <c r="Q7" s="72">
        <v>265</v>
      </c>
      <c r="R7" s="131">
        <v>371</v>
      </c>
      <c r="S7" s="131">
        <v>252</v>
      </c>
      <c r="T7" s="131">
        <v>357</v>
      </c>
      <c r="U7" s="131">
        <v>284</v>
      </c>
      <c r="V7" s="131">
        <v>414</v>
      </c>
      <c r="W7" s="131">
        <v>242</v>
      </c>
      <c r="X7" s="131">
        <v>250</v>
      </c>
      <c r="Y7" s="131">
        <v>294</v>
      </c>
      <c r="Z7" s="153">
        <v>483</v>
      </c>
      <c r="AA7" s="121">
        <f t="shared" si="0"/>
        <v>64.28571428571428</v>
      </c>
      <c r="AB7" s="121">
        <f t="shared" si="1"/>
        <v>16.666666666666675</v>
      </c>
      <c r="AC7" s="121"/>
      <c r="AD7" s="314">
        <v>1264</v>
      </c>
      <c r="AE7" s="384">
        <v>1200</v>
      </c>
      <c r="AF7" s="75">
        <f aca="true" t="shared" si="2" ref="AF7:AF16">IF(AND(AE7=0,AD7=0),0,IF(OR(AND(AE7&gt;0,AD7&lt;=0),AND(AE7&lt;0,AD7&gt;=0)),"nm",IF(AND(AE7&lt;0,AD7&lt;0),IF(-(AE7/AD7-1)*100&lt;-100,"(&gt;100)",-(AE7/AD7-1)*100),IF((AE7/AD7-1)*100&gt;100,"&gt;100",(AE7/AD7-1)*100))))</f>
        <v>-5.063291139240511</v>
      </c>
      <c r="AH7" s="131"/>
    </row>
    <row r="8" spans="2:34" s="120" customFormat="1" ht="14.25">
      <c r="B8" s="33" t="s">
        <v>6</v>
      </c>
      <c r="C8" s="70"/>
      <c r="D8" s="75">
        <v>6031</v>
      </c>
      <c r="E8" s="75">
        <v>6603</v>
      </c>
      <c r="F8" s="75">
        <v>7066</v>
      </c>
      <c r="G8" s="75">
        <v>7631</v>
      </c>
      <c r="H8" s="121">
        <v>8064</v>
      </c>
      <c r="I8" s="75"/>
      <c r="J8" s="75">
        <v>1662</v>
      </c>
      <c r="K8" s="72">
        <v>1792</v>
      </c>
      <c r="L8" s="72">
        <v>1577</v>
      </c>
      <c r="M8" s="72">
        <v>1572</v>
      </c>
      <c r="N8" s="72">
        <v>1713</v>
      </c>
      <c r="O8" s="72">
        <v>1815</v>
      </c>
      <c r="P8" s="72">
        <v>1809</v>
      </c>
      <c r="Q8" s="72">
        <v>1729</v>
      </c>
      <c r="R8" s="131">
        <v>1909</v>
      </c>
      <c r="S8" s="131">
        <v>1838</v>
      </c>
      <c r="T8" s="131">
        <v>1968</v>
      </c>
      <c r="U8" s="131">
        <v>1916</v>
      </c>
      <c r="V8" s="131">
        <v>2156</v>
      </c>
      <c r="W8" s="131">
        <v>1945</v>
      </c>
      <c r="X8" s="131">
        <v>2004</v>
      </c>
      <c r="Y8" s="131">
        <v>1959</v>
      </c>
      <c r="Z8" s="153">
        <f>SUM(Z5:Z7)</f>
        <v>2317</v>
      </c>
      <c r="AA8" s="121">
        <f t="shared" si="0"/>
        <v>18.27462991322104</v>
      </c>
      <c r="AB8" s="121">
        <f t="shared" si="1"/>
        <v>7.467532467532467</v>
      </c>
      <c r="AC8" s="121"/>
      <c r="AD8" s="314">
        <v>7631</v>
      </c>
      <c r="AE8" s="384">
        <v>8064</v>
      </c>
      <c r="AF8" s="75">
        <f>IF(AND(AE8=0,AD8=0),0,IF(OR(AND(AE8&gt;0,AD8&lt;=0),AND(AE8&lt;0,AD8&gt;=0)),"nm",IF(AND(AE8&lt;0,AD8&lt;0),IF(-(AE8/AD8-1)*100&lt;-100,"(&gt;100)",-(AE8/AD8-1)*100),IF((AE8/AD8-1)*100&gt;100,"&gt;100",(AE8/AD8-1)*100))))</f>
        <v>5.674223561787439</v>
      </c>
      <c r="AH8" s="131"/>
    </row>
    <row r="9" spans="2:34" s="120" customFormat="1" ht="14.25">
      <c r="B9" s="33" t="s">
        <v>0</v>
      </c>
      <c r="C9" s="33"/>
      <c r="D9" s="75">
        <v>2610</v>
      </c>
      <c r="E9" s="75">
        <v>2604</v>
      </c>
      <c r="F9" s="75">
        <v>2925</v>
      </c>
      <c r="G9" s="75">
        <v>3303</v>
      </c>
      <c r="H9" s="121">
        <v>3614</v>
      </c>
      <c r="I9" s="75"/>
      <c r="J9" s="75">
        <v>638</v>
      </c>
      <c r="K9" s="72">
        <v>631</v>
      </c>
      <c r="L9" s="72">
        <v>635</v>
      </c>
      <c r="M9" s="72">
        <v>700</v>
      </c>
      <c r="N9" s="72">
        <v>702</v>
      </c>
      <c r="O9" s="72">
        <v>717</v>
      </c>
      <c r="P9" s="72">
        <v>726</v>
      </c>
      <c r="Q9" s="72">
        <v>780</v>
      </c>
      <c r="R9" s="131">
        <v>773</v>
      </c>
      <c r="S9" s="131">
        <v>798</v>
      </c>
      <c r="T9" s="131">
        <v>847</v>
      </c>
      <c r="U9" s="131">
        <v>885</v>
      </c>
      <c r="V9" s="131">
        <v>898</v>
      </c>
      <c r="W9" s="131">
        <v>872</v>
      </c>
      <c r="X9" s="131">
        <v>901</v>
      </c>
      <c r="Y9" s="131">
        <v>943</v>
      </c>
      <c r="Z9" s="153">
        <v>952</v>
      </c>
      <c r="AA9" s="121">
        <f t="shared" si="0"/>
        <v>0.9544008483563182</v>
      </c>
      <c r="AB9" s="121">
        <f t="shared" si="1"/>
        <v>6.013363028953234</v>
      </c>
      <c r="AC9" s="121"/>
      <c r="AD9" s="314">
        <v>3303</v>
      </c>
      <c r="AE9" s="384">
        <v>3614</v>
      </c>
      <c r="AF9" s="75">
        <f t="shared" si="2"/>
        <v>9.415682712685447</v>
      </c>
      <c r="AH9" s="131"/>
    </row>
    <row r="10" spans="2:34" s="120" customFormat="1" ht="14.25">
      <c r="B10" s="33" t="s">
        <v>7</v>
      </c>
      <c r="C10" s="70"/>
      <c r="D10" s="75">
        <v>3421</v>
      </c>
      <c r="E10" s="75">
        <v>3999</v>
      </c>
      <c r="F10" s="75">
        <v>4141</v>
      </c>
      <c r="G10" s="75">
        <v>4328</v>
      </c>
      <c r="H10" s="121">
        <v>4450</v>
      </c>
      <c r="I10" s="75"/>
      <c r="J10" s="75">
        <v>1024</v>
      </c>
      <c r="K10" s="72">
        <v>1161</v>
      </c>
      <c r="L10" s="72">
        <v>942</v>
      </c>
      <c r="M10" s="72">
        <v>872</v>
      </c>
      <c r="N10" s="72">
        <v>1011</v>
      </c>
      <c r="O10" s="72">
        <v>1098</v>
      </c>
      <c r="P10" s="72">
        <v>1083</v>
      </c>
      <c r="Q10" s="72">
        <v>949</v>
      </c>
      <c r="R10" s="131">
        <v>1136</v>
      </c>
      <c r="S10" s="131">
        <v>1040</v>
      </c>
      <c r="T10" s="131">
        <v>1121</v>
      </c>
      <c r="U10" s="131">
        <v>1031</v>
      </c>
      <c r="V10" s="131">
        <v>1258</v>
      </c>
      <c r="W10" s="131">
        <v>1073</v>
      </c>
      <c r="X10" s="131">
        <v>1103</v>
      </c>
      <c r="Y10" s="131">
        <v>1016</v>
      </c>
      <c r="Z10" s="153">
        <v>1365</v>
      </c>
      <c r="AA10" s="121">
        <f t="shared" si="0"/>
        <v>34.35039370078741</v>
      </c>
      <c r="AB10" s="121">
        <f t="shared" si="1"/>
        <v>8.50556438791732</v>
      </c>
      <c r="AC10" s="121"/>
      <c r="AD10" s="314">
        <v>4328</v>
      </c>
      <c r="AE10" s="384">
        <v>4450</v>
      </c>
      <c r="AF10" s="75">
        <f t="shared" si="2"/>
        <v>2.8188539741220042</v>
      </c>
      <c r="AH10" s="131"/>
    </row>
    <row r="11" spans="2:34" s="120" customFormat="1" ht="14.25">
      <c r="B11" s="33" t="s">
        <v>8</v>
      </c>
      <c r="C11" s="33"/>
      <c r="D11" s="75">
        <v>784</v>
      </c>
      <c r="E11" s="75">
        <v>1529</v>
      </c>
      <c r="F11" s="75">
        <v>911</v>
      </c>
      <c r="G11" s="75">
        <v>722</v>
      </c>
      <c r="H11" s="121">
        <v>417</v>
      </c>
      <c r="I11" s="75"/>
      <c r="J11" s="75">
        <v>414</v>
      </c>
      <c r="K11" s="72">
        <v>466</v>
      </c>
      <c r="L11" s="72">
        <v>265</v>
      </c>
      <c r="M11" s="72">
        <v>384</v>
      </c>
      <c r="N11" s="72">
        <v>355</v>
      </c>
      <c r="O11" s="72">
        <v>204</v>
      </c>
      <c r="P11" s="72">
        <v>195</v>
      </c>
      <c r="Q11" s="72">
        <v>157</v>
      </c>
      <c r="R11" s="131">
        <v>125</v>
      </c>
      <c r="S11" s="131">
        <v>137</v>
      </c>
      <c r="T11" s="131">
        <v>231</v>
      </c>
      <c r="U11" s="131">
        <v>229</v>
      </c>
      <c r="V11" s="131">
        <v>144</v>
      </c>
      <c r="W11" s="131">
        <v>104</v>
      </c>
      <c r="X11" s="131">
        <v>55</v>
      </c>
      <c r="Y11" s="131">
        <v>114</v>
      </c>
      <c r="Z11" s="153">
        <v>223</v>
      </c>
      <c r="AA11" s="121">
        <f t="shared" si="0"/>
        <v>95.6140350877193</v>
      </c>
      <c r="AB11" s="121">
        <f t="shared" si="1"/>
        <v>54.861111111111114</v>
      </c>
      <c r="AC11" s="121"/>
      <c r="AD11" s="314">
        <v>722</v>
      </c>
      <c r="AE11" s="384">
        <v>417</v>
      </c>
      <c r="AF11" s="75">
        <f t="shared" si="2"/>
        <v>-42.24376731301939</v>
      </c>
      <c r="AH11" s="131"/>
    </row>
    <row r="12" spans="2:34" s="120" customFormat="1" ht="14.25">
      <c r="B12" s="33" t="s">
        <v>9</v>
      </c>
      <c r="C12" s="33"/>
      <c r="D12" s="75">
        <v>2712</v>
      </c>
      <c r="E12" s="75">
        <v>2536</v>
      </c>
      <c r="F12" s="75">
        <v>3332</v>
      </c>
      <c r="G12" s="75">
        <v>3733</v>
      </c>
      <c r="H12" s="121">
        <v>4157</v>
      </c>
      <c r="I12" s="75"/>
      <c r="J12" s="75">
        <v>630</v>
      </c>
      <c r="K12" s="72">
        <v>708</v>
      </c>
      <c r="L12" s="72">
        <v>704</v>
      </c>
      <c r="M12" s="72">
        <v>494</v>
      </c>
      <c r="N12" s="72">
        <v>678</v>
      </c>
      <c r="O12" s="72">
        <v>919</v>
      </c>
      <c r="P12" s="72">
        <v>919</v>
      </c>
      <c r="Q12" s="72">
        <v>816</v>
      </c>
      <c r="R12" s="131">
        <v>1035</v>
      </c>
      <c r="S12" s="131">
        <v>934</v>
      </c>
      <c r="T12" s="131">
        <v>927</v>
      </c>
      <c r="U12" s="131">
        <v>837</v>
      </c>
      <c r="V12" s="131">
        <v>1153</v>
      </c>
      <c r="W12" s="131">
        <v>1005</v>
      </c>
      <c r="X12" s="131">
        <v>1076</v>
      </c>
      <c r="Y12" s="131">
        <v>923</v>
      </c>
      <c r="Z12" s="153">
        <v>1169</v>
      </c>
      <c r="AA12" s="121">
        <f t="shared" si="0"/>
        <v>26.6522210184182</v>
      </c>
      <c r="AB12" s="121">
        <f t="shared" si="1"/>
        <v>1.3876843018213458</v>
      </c>
      <c r="AC12" s="121"/>
      <c r="AD12" s="314">
        <v>3733</v>
      </c>
      <c r="AE12" s="384">
        <v>4157</v>
      </c>
      <c r="AF12" s="75">
        <f t="shared" si="2"/>
        <v>11.358156978301626</v>
      </c>
      <c r="AH12" s="131"/>
    </row>
    <row r="13" spans="2:34" s="120" customFormat="1" ht="14.25">
      <c r="B13" s="33" t="s">
        <v>344</v>
      </c>
      <c r="C13" s="33"/>
      <c r="D13" s="75">
        <v>2056</v>
      </c>
      <c r="E13" s="75">
        <v>2064</v>
      </c>
      <c r="F13" s="75">
        <v>2650</v>
      </c>
      <c r="G13" s="75">
        <v>3035</v>
      </c>
      <c r="H13" s="121">
        <v>3359</v>
      </c>
      <c r="I13" s="75"/>
      <c r="J13" s="75">
        <v>456</v>
      </c>
      <c r="K13" s="72">
        <v>552</v>
      </c>
      <c r="L13" s="72">
        <v>563</v>
      </c>
      <c r="M13" s="72">
        <v>493</v>
      </c>
      <c r="N13" s="72">
        <v>532</v>
      </c>
      <c r="O13" s="72">
        <v>718</v>
      </c>
      <c r="P13" s="72">
        <v>722</v>
      </c>
      <c r="Q13" s="72">
        <v>678</v>
      </c>
      <c r="R13" s="131">
        <v>807</v>
      </c>
      <c r="S13" s="131">
        <v>735</v>
      </c>
      <c r="T13" s="131">
        <v>762</v>
      </c>
      <c r="U13" s="131">
        <v>731</v>
      </c>
      <c r="V13" s="131">
        <v>933</v>
      </c>
      <c r="W13" s="131">
        <v>810</v>
      </c>
      <c r="X13" s="131">
        <v>856</v>
      </c>
      <c r="Y13" s="131">
        <v>760</v>
      </c>
      <c r="Z13" s="153">
        <v>950</v>
      </c>
      <c r="AA13" s="121">
        <f t="shared" si="0"/>
        <v>25</v>
      </c>
      <c r="AB13" s="121">
        <f t="shared" si="1"/>
        <v>1.8220793140407254</v>
      </c>
      <c r="AC13" s="121"/>
      <c r="AD13" s="314">
        <v>3035</v>
      </c>
      <c r="AE13" s="384">
        <v>3359</v>
      </c>
      <c r="AF13" s="75">
        <f>IF(AND(AE13=0,AD13=0),0,IF(OR(AND(AE13&gt;0,AD13&lt;=0),AND(AE13&lt;0,AD13&gt;=0)),"nm",IF(AND(AE13&lt;0,AD13&lt;0),IF(-(AE13/AD13-1)*100&lt;-100,"(&gt;100)",-(AE13/AD13-1)*100),IF((AE13/AD13-1)*100&gt;100,"&gt;100",(AE13/AD13-1)*100))))</f>
        <v>10.675453047775951</v>
      </c>
      <c r="AH13" s="131"/>
    </row>
    <row r="14" spans="2:34" s="120" customFormat="1" ht="14.25">
      <c r="B14" s="33" t="s">
        <v>338</v>
      </c>
      <c r="C14" s="33"/>
      <c r="D14" s="75">
        <v>0</v>
      </c>
      <c r="E14" s="75">
        <v>0</v>
      </c>
      <c r="F14" s="75">
        <v>-1018</v>
      </c>
      <c r="G14" s="75">
        <v>0</v>
      </c>
      <c r="H14" s="121">
        <v>0</v>
      </c>
      <c r="I14" s="75"/>
      <c r="J14" s="132">
        <v>0</v>
      </c>
      <c r="K14" s="261">
        <v>0</v>
      </c>
      <c r="L14" s="261">
        <v>0</v>
      </c>
      <c r="M14" s="261">
        <v>0</v>
      </c>
      <c r="N14" s="261">
        <v>0</v>
      </c>
      <c r="O14" s="261">
        <v>-1018</v>
      </c>
      <c r="P14" s="261">
        <v>0</v>
      </c>
      <c r="Q14" s="261">
        <v>0</v>
      </c>
      <c r="R14" s="132">
        <v>0</v>
      </c>
      <c r="S14" s="132">
        <v>0</v>
      </c>
      <c r="T14" s="132">
        <v>0</v>
      </c>
      <c r="U14" s="132">
        <v>0</v>
      </c>
      <c r="V14" s="132">
        <v>0</v>
      </c>
      <c r="W14" s="132">
        <v>0</v>
      </c>
      <c r="X14" s="132">
        <v>0</v>
      </c>
      <c r="Y14" s="132">
        <v>0</v>
      </c>
      <c r="Z14" s="153">
        <v>0</v>
      </c>
      <c r="AA14" s="121">
        <f t="shared" si="0"/>
        <v>0</v>
      </c>
      <c r="AB14" s="121">
        <f t="shared" si="1"/>
        <v>0</v>
      </c>
      <c r="AC14" s="121"/>
      <c r="AD14" s="314">
        <v>0</v>
      </c>
      <c r="AE14" s="385">
        <v>0</v>
      </c>
      <c r="AF14" s="75">
        <f>IF(AND(AE14=0,AD14=0),0,IF(OR(AND(AE14&gt;0,AD14&lt;=0),AND(AE14&lt;0,AD14&gt;=0)),"nm",IF(AND(AE14&lt;0,AD14&lt;0),IF(-(AE14/AD14-1)*100&lt;-100,"(&gt;100)",-(AE14/AD14-1)*100),IF((AE14/AD14-1)*100&gt;100,"&gt;100",(AE14/AD14-1)*100))))</f>
        <v>0</v>
      </c>
      <c r="AH14" s="131"/>
    </row>
    <row r="15" spans="2:34" s="120" customFormat="1" ht="14.25">
      <c r="B15" s="33" t="s">
        <v>27</v>
      </c>
      <c r="C15" s="33"/>
      <c r="D15" s="75">
        <v>-127</v>
      </c>
      <c r="E15" s="75">
        <v>-23</v>
      </c>
      <c r="F15" s="75">
        <v>0</v>
      </c>
      <c r="G15" s="75">
        <v>0</v>
      </c>
      <c r="H15" s="121">
        <v>450</v>
      </c>
      <c r="I15" s="75"/>
      <c r="J15" s="75">
        <v>-23</v>
      </c>
      <c r="K15" s="261">
        <v>0</v>
      </c>
      <c r="L15" s="261">
        <v>0</v>
      </c>
      <c r="M15" s="261">
        <v>0</v>
      </c>
      <c r="N15" s="261">
        <v>0</v>
      </c>
      <c r="O15" s="261">
        <v>0</v>
      </c>
      <c r="P15" s="261">
        <v>0</v>
      </c>
      <c r="Q15" s="261">
        <v>0</v>
      </c>
      <c r="R15" s="132">
        <v>0</v>
      </c>
      <c r="S15" s="132">
        <v>0</v>
      </c>
      <c r="T15" s="132">
        <v>0</v>
      </c>
      <c r="U15" s="132">
        <v>0</v>
      </c>
      <c r="V15" s="132">
        <v>0</v>
      </c>
      <c r="W15" s="132">
        <v>0</v>
      </c>
      <c r="X15" s="132">
        <v>0</v>
      </c>
      <c r="Y15" s="132">
        <v>450</v>
      </c>
      <c r="Z15" s="153">
        <v>0</v>
      </c>
      <c r="AA15" s="121">
        <f t="shared" si="0"/>
        <v>-100</v>
      </c>
      <c r="AB15" s="121">
        <f t="shared" si="1"/>
        <v>0</v>
      </c>
      <c r="AC15" s="121"/>
      <c r="AD15" s="314">
        <v>0</v>
      </c>
      <c r="AE15" s="385">
        <v>450</v>
      </c>
      <c r="AF15" s="75" t="str">
        <f t="shared" si="2"/>
        <v>nm</v>
      </c>
      <c r="AH15" s="131"/>
    </row>
    <row r="16" spans="2:34" s="120" customFormat="1" ht="28.5">
      <c r="B16" s="33" t="s">
        <v>345</v>
      </c>
      <c r="C16" s="33"/>
      <c r="D16" s="75">
        <v>1929</v>
      </c>
      <c r="E16" s="75">
        <v>2041</v>
      </c>
      <c r="F16" s="75">
        <v>1632</v>
      </c>
      <c r="G16" s="75">
        <v>3035</v>
      </c>
      <c r="H16" s="121">
        <v>3809</v>
      </c>
      <c r="I16" s="75"/>
      <c r="J16" s="75">
        <v>433</v>
      </c>
      <c r="K16" s="72">
        <v>552</v>
      </c>
      <c r="L16" s="72">
        <v>563</v>
      </c>
      <c r="M16" s="72">
        <v>493</v>
      </c>
      <c r="N16" s="72">
        <v>532</v>
      </c>
      <c r="O16" s="72">
        <v>-300</v>
      </c>
      <c r="P16" s="72">
        <v>722</v>
      </c>
      <c r="Q16" s="72">
        <v>678</v>
      </c>
      <c r="R16" s="131">
        <v>807</v>
      </c>
      <c r="S16" s="131">
        <v>735</v>
      </c>
      <c r="T16" s="131">
        <v>762</v>
      </c>
      <c r="U16" s="131">
        <v>731</v>
      </c>
      <c r="V16" s="131">
        <v>933</v>
      </c>
      <c r="W16" s="131">
        <v>810</v>
      </c>
      <c r="X16" s="131">
        <v>856</v>
      </c>
      <c r="Y16" s="131">
        <v>1210</v>
      </c>
      <c r="Z16" s="153">
        <v>950</v>
      </c>
      <c r="AA16" s="121">
        <f t="shared" si="0"/>
        <v>-21.487603305785118</v>
      </c>
      <c r="AB16" s="121">
        <f t="shared" si="1"/>
        <v>1.8220793140407254</v>
      </c>
      <c r="AC16" s="121"/>
      <c r="AD16" s="314">
        <v>3035</v>
      </c>
      <c r="AE16" s="384">
        <v>3809</v>
      </c>
      <c r="AF16" s="75">
        <f t="shared" si="2"/>
        <v>25.50247116968698</v>
      </c>
      <c r="AH16" s="131"/>
    </row>
    <row r="17" spans="2:34" ht="14.25">
      <c r="B17" s="22"/>
      <c r="C17" s="22"/>
      <c r="H17" s="121"/>
      <c r="K17" s="72"/>
      <c r="L17" s="72"/>
      <c r="M17" s="72"/>
      <c r="N17" s="72"/>
      <c r="O17" s="72"/>
      <c r="P17" s="72"/>
      <c r="Q17" s="72"/>
      <c r="R17" s="171"/>
      <c r="S17" s="171"/>
      <c r="T17" s="171"/>
      <c r="U17" s="171"/>
      <c r="V17" s="171"/>
      <c r="W17" s="171"/>
      <c r="X17" s="171"/>
      <c r="Y17" s="171"/>
      <c r="Z17" s="143"/>
      <c r="AD17" s="72"/>
      <c r="AE17" s="143"/>
      <c r="AH17" s="131"/>
    </row>
    <row r="18" spans="1:34" ht="15">
      <c r="A18" s="71" t="s">
        <v>104</v>
      </c>
      <c r="B18" s="22"/>
      <c r="C18" s="22"/>
      <c r="H18" s="121"/>
      <c r="K18" s="72"/>
      <c r="L18" s="72"/>
      <c r="M18" s="72"/>
      <c r="N18" s="72"/>
      <c r="O18" s="72"/>
      <c r="P18" s="72"/>
      <c r="Q18" s="72"/>
      <c r="R18" s="171"/>
      <c r="S18" s="171"/>
      <c r="T18" s="171"/>
      <c r="U18" s="171"/>
      <c r="V18" s="171"/>
      <c r="W18" s="171"/>
      <c r="X18" s="171"/>
      <c r="Y18" s="171"/>
      <c r="Z18" s="143"/>
      <c r="AD18" s="72"/>
      <c r="AE18" s="143"/>
      <c r="AH18" s="131"/>
    </row>
    <row r="19" spans="2:34" s="120" customFormat="1" ht="14.25">
      <c r="B19" s="33" t="s">
        <v>17</v>
      </c>
      <c r="C19" s="33"/>
      <c r="D19" s="75">
        <v>126481</v>
      </c>
      <c r="E19" s="75">
        <v>130583</v>
      </c>
      <c r="F19" s="75">
        <v>152094</v>
      </c>
      <c r="G19" s="75">
        <v>194720</v>
      </c>
      <c r="H19" s="121">
        <v>210519</v>
      </c>
      <c r="I19" s="75"/>
      <c r="J19" s="75">
        <v>130557</v>
      </c>
      <c r="K19" s="72">
        <v>127970</v>
      </c>
      <c r="L19" s="72">
        <v>128308</v>
      </c>
      <c r="M19" s="72">
        <v>130583</v>
      </c>
      <c r="N19" s="72">
        <v>133908</v>
      </c>
      <c r="O19" s="72">
        <v>146070</v>
      </c>
      <c r="P19" s="72">
        <v>147785</v>
      </c>
      <c r="Q19" s="72">
        <v>152094</v>
      </c>
      <c r="R19" s="298">
        <v>157455</v>
      </c>
      <c r="S19" s="298">
        <v>168706</v>
      </c>
      <c r="T19" s="298">
        <v>185630</v>
      </c>
      <c r="U19" s="298">
        <v>194720</v>
      </c>
      <c r="V19" s="298">
        <v>197590</v>
      </c>
      <c r="W19" s="298">
        <v>205180</v>
      </c>
      <c r="X19" s="298">
        <v>202493</v>
      </c>
      <c r="Y19" s="298">
        <v>210519</v>
      </c>
      <c r="Z19" s="431">
        <v>223670</v>
      </c>
      <c r="AA19" s="121">
        <f aca="true" t="shared" si="3" ref="AA19:AA25">IF(AND(Z19=0,Y19=0),0,IF(OR(AND(Z19&gt;0,Y19&lt;=0),AND(Z19&lt;0,Y19&gt;=0)),"nm",IF(AND(Z19&lt;0,Y19&lt;0),IF(-(Z19/Y19-1)*100&lt;-100,"(&gt;100)",-(Z19/Y19-1)*100),IF((Z19/Y19-1)*100&gt;100,"&gt;100",(Z19/Y19-1)*100))))</f>
        <v>6.246942081237328</v>
      </c>
      <c r="AB19" s="121">
        <f aca="true" t="shared" si="4" ref="AB19:AB25">IF(AND(Z19=0,V19=0),0,IF(OR(AND(Z19&gt;0,V19&lt;=0),AND(Z19&lt;0,V19&gt;=0)),"nm",IF(AND(Z19&lt;0,V19&lt;0),IF(-(Z19/V19-1)*100&lt;-100,"(&gt;100)",-(Z19/V19-1)*100),IF((Z19/V19-1)*100&gt;100,"&gt;100",(Z19/V19-1)*100))))</f>
        <v>13.19904853484488</v>
      </c>
      <c r="AC19" s="121"/>
      <c r="AD19" s="314">
        <v>194720</v>
      </c>
      <c r="AE19" s="431">
        <v>210519</v>
      </c>
      <c r="AF19" s="75">
        <f aca="true" t="shared" si="5" ref="AF19:AF25">IF(AND(AE19=0,AD19=0),0,IF(OR(AND(AE19&gt;0,AD19&lt;=0),AND(AE19&lt;0,AD19&gt;=0)),"nm",IF(AND(AE19&lt;0,AD19&lt;0),IF(-(AE19/AD19-1)*100&lt;-100,"(&gt;100)",-(AE19/AD19-1)*100),IF((AE19/AD19-1)*100&gt;100,"&gt;100",(AE19/AD19-1)*100))))</f>
        <v>8.113701725554634</v>
      </c>
      <c r="AH19" s="131"/>
    </row>
    <row r="20" spans="2:34" s="120" customFormat="1" ht="14.25">
      <c r="B20" s="33" t="s">
        <v>18</v>
      </c>
      <c r="C20" s="33"/>
      <c r="D20" s="75">
        <v>22159</v>
      </c>
      <c r="E20" s="75">
        <v>24189</v>
      </c>
      <c r="F20" s="75">
        <v>23298</v>
      </c>
      <c r="G20" s="75">
        <v>27183</v>
      </c>
      <c r="H20" s="121">
        <v>29407</v>
      </c>
      <c r="I20" s="75"/>
      <c r="J20" s="75">
        <v>30261</v>
      </c>
      <c r="K20" s="72">
        <v>35204</v>
      </c>
      <c r="L20" s="72">
        <v>33365</v>
      </c>
      <c r="M20" s="72">
        <v>24189</v>
      </c>
      <c r="N20" s="72">
        <v>18672</v>
      </c>
      <c r="O20" s="72">
        <v>21846</v>
      </c>
      <c r="P20" s="72">
        <v>25820</v>
      </c>
      <c r="Q20" s="72">
        <v>23298</v>
      </c>
      <c r="R20" s="298">
        <v>26097</v>
      </c>
      <c r="S20" s="298">
        <v>24577</v>
      </c>
      <c r="T20" s="298">
        <v>31009</v>
      </c>
      <c r="U20" s="298">
        <v>27183</v>
      </c>
      <c r="V20" s="298">
        <v>33197</v>
      </c>
      <c r="W20" s="298">
        <v>34686</v>
      </c>
      <c r="X20" s="298">
        <v>42912</v>
      </c>
      <c r="Y20" s="298">
        <v>29407</v>
      </c>
      <c r="Z20" s="431">
        <v>32590</v>
      </c>
      <c r="AA20" s="121">
        <f t="shared" si="3"/>
        <v>10.823953480463832</v>
      </c>
      <c r="AB20" s="121">
        <f t="shared" si="4"/>
        <v>-1.8284784769708073</v>
      </c>
      <c r="AC20" s="121"/>
      <c r="AD20" s="314">
        <v>27183</v>
      </c>
      <c r="AE20" s="431">
        <v>29407</v>
      </c>
      <c r="AF20" s="75">
        <f t="shared" si="5"/>
        <v>8.18158407828422</v>
      </c>
      <c r="AH20" s="131"/>
    </row>
    <row r="21" spans="2:34" s="120" customFormat="1" ht="14.25">
      <c r="B21" s="33" t="s">
        <v>10</v>
      </c>
      <c r="C21" s="33"/>
      <c r="D21" s="75">
        <v>256718</v>
      </c>
      <c r="E21" s="75">
        <v>258644</v>
      </c>
      <c r="F21" s="75">
        <v>283710</v>
      </c>
      <c r="G21" s="75">
        <v>340847</v>
      </c>
      <c r="H21" s="121">
        <v>353033</v>
      </c>
      <c r="I21" s="75"/>
      <c r="J21" s="75">
        <v>273252</v>
      </c>
      <c r="K21" s="72">
        <v>262948</v>
      </c>
      <c r="L21" s="72">
        <v>259470</v>
      </c>
      <c r="M21" s="72">
        <v>258644</v>
      </c>
      <c r="N21" s="72">
        <v>262036</v>
      </c>
      <c r="O21" s="72">
        <v>276250</v>
      </c>
      <c r="P21" s="72">
        <v>279436</v>
      </c>
      <c r="Q21" s="72">
        <v>283710</v>
      </c>
      <c r="R21" s="298">
        <v>292937</v>
      </c>
      <c r="S21" s="298">
        <v>309492</v>
      </c>
      <c r="T21" s="298">
        <v>338641</v>
      </c>
      <c r="U21" s="298">
        <v>340847</v>
      </c>
      <c r="V21" s="298">
        <v>348280</v>
      </c>
      <c r="W21" s="298">
        <v>353020</v>
      </c>
      <c r="X21" s="298">
        <v>360602</v>
      </c>
      <c r="Y21" s="298">
        <v>353033</v>
      </c>
      <c r="Z21" s="431">
        <v>373259</v>
      </c>
      <c r="AA21" s="121">
        <f t="shared" si="3"/>
        <v>5.729209450674588</v>
      </c>
      <c r="AB21" s="121">
        <f t="shared" si="4"/>
        <v>7.172102905708044</v>
      </c>
      <c r="AC21" s="121"/>
      <c r="AD21" s="314">
        <v>340847</v>
      </c>
      <c r="AE21" s="431">
        <v>353033</v>
      </c>
      <c r="AF21" s="75">
        <f t="shared" si="5"/>
        <v>3.575211165126868</v>
      </c>
      <c r="AH21" s="131"/>
    </row>
    <row r="22" spans="2:34" s="120" customFormat="1" ht="14.25">
      <c r="B22" s="33" t="s">
        <v>21</v>
      </c>
      <c r="C22" s="33"/>
      <c r="D22" s="75">
        <v>169858</v>
      </c>
      <c r="E22" s="75">
        <v>183432</v>
      </c>
      <c r="F22" s="75">
        <v>193692</v>
      </c>
      <c r="G22" s="75">
        <v>225346</v>
      </c>
      <c r="H22" s="121">
        <v>242907</v>
      </c>
      <c r="I22" s="75"/>
      <c r="J22" s="75">
        <v>179818</v>
      </c>
      <c r="K22" s="72">
        <v>179033</v>
      </c>
      <c r="L22" s="72">
        <v>180185</v>
      </c>
      <c r="M22" s="72">
        <v>183432</v>
      </c>
      <c r="N22" s="72">
        <v>181560</v>
      </c>
      <c r="O22" s="72">
        <v>183929</v>
      </c>
      <c r="P22" s="72">
        <v>185211</v>
      </c>
      <c r="Q22" s="72">
        <v>193692</v>
      </c>
      <c r="R22" s="298">
        <v>199536</v>
      </c>
      <c r="S22" s="298">
        <v>210536</v>
      </c>
      <c r="T22" s="298">
        <v>219714</v>
      </c>
      <c r="U22" s="298">
        <v>225346</v>
      </c>
      <c r="V22" s="298">
        <v>232186</v>
      </c>
      <c r="W22" s="298">
        <v>230566</v>
      </c>
      <c r="X22" s="298">
        <v>240178</v>
      </c>
      <c r="Y22" s="298">
        <v>242907</v>
      </c>
      <c r="Z22" s="431">
        <v>250815</v>
      </c>
      <c r="AA22" s="121">
        <f t="shared" si="3"/>
        <v>3.2555669453741665</v>
      </c>
      <c r="AB22" s="121">
        <f t="shared" si="4"/>
        <v>8.023308898900016</v>
      </c>
      <c r="AC22" s="121"/>
      <c r="AD22" s="314">
        <v>225346</v>
      </c>
      <c r="AE22" s="431">
        <v>242907</v>
      </c>
      <c r="AF22" s="75">
        <f t="shared" si="5"/>
        <v>7.792905132551731</v>
      </c>
      <c r="AH22" s="131"/>
    </row>
    <row r="23" spans="2:34" s="120" customFormat="1" ht="14.25">
      <c r="B23" s="127" t="s">
        <v>390</v>
      </c>
      <c r="C23" s="33"/>
      <c r="D23" s="414"/>
      <c r="E23" s="414"/>
      <c r="F23" s="414"/>
      <c r="G23" s="414"/>
      <c r="H23" s="121">
        <v>25908</v>
      </c>
      <c r="I23" s="75"/>
      <c r="J23" s="414"/>
      <c r="K23" s="415"/>
      <c r="L23" s="415"/>
      <c r="M23" s="415"/>
      <c r="N23" s="415"/>
      <c r="O23" s="415"/>
      <c r="P23" s="415"/>
      <c r="Q23" s="415"/>
      <c r="R23" s="416"/>
      <c r="S23" s="298">
        <v>26799</v>
      </c>
      <c r="T23" s="298">
        <f>AD23</f>
        <v>0</v>
      </c>
      <c r="U23" s="298">
        <v>28087</v>
      </c>
      <c r="V23" s="298">
        <v>25975</v>
      </c>
      <c r="W23" s="298">
        <v>31284</v>
      </c>
      <c r="X23" s="298">
        <v>28907</v>
      </c>
      <c r="Y23" s="298">
        <v>25908</v>
      </c>
      <c r="Z23" s="431">
        <v>29855</v>
      </c>
      <c r="AA23" s="121">
        <f t="shared" si="3"/>
        <v>15.234676547784476</v>
      </c>
      <c r="AB23" s="121">
        <f t="shared" si="4"/>
        <v>14.937439846005773</v>
      </c>
      <c r="AC23" s="121"/>
      <c r="AD23" s="314"/>
      <c r="AE23" s="431">
        <v>25908</v>
      </c>
      <c r="AF23" s="75">
        <f>AB23</f>
        <v>14.937439846005773</v>
      </c>
      <c r="AH23" s="131"/>
    </row>
    <row r="24" spans="2:34" s="120" customFormat="1" ht="14.25">
      <c r="B24" s="33" t="s">
        <v>11</v>
      </c>
      <c r="C24" s="33"/>
      <c r="D24" s="75">
        <v>232715</v>
      </c>
      <c r="E24" s="75">
        <v>229145</v>
      </c>
      <c r="F24" s="75">
        <v>250608</v>
      </c>
      <c r="G24" s="75">
        <v>307778</v>
      </c>
      <c r="H24" s="121">
        <v>317035</v>
      </c>
      <c r="I24" s="75"/>
      <c r="J24" s="75">
        <v>244923</v>
      </c>
      <c r="K24" s="72">
        <v>234274</v>
      </c>
      <c r="L24" s="72">
        <v>230128</v>
      </c>
      <c r="M24" s="72">
        <v>229145</v>
      </c>
      <c r="N24" s="72">
        <v>231716</v>
      </c>
      <c r="O24" s="72">
        <v>246522</v>
      </c>
      <c r="P24" s="72">
        <v>248969</v>
      </c>
      <c r="Q24" s="72">
        <v>250608</v>
      </c>
      <c r="R24" s="298">
        <v>259986</v>
      </c>
      <c r="S24" s="298">
        <v>277208</v>
      </c>
      <c r="T24" s="298">
        <v>306035</v>
      </c>
      <c r="U24" s="298">
        <v>307778</v>
      </c>
      <c r="V24" s="298">
        <v>314165</v>
      </c>
      <c r="W24" s="298">
        <v>318580</v>
      </c>
      <c r="X24" s="298">
        <v>325762</v>
      </c>
      <c r="Y24" s="298">
        <v>317035</v>
      </c>
      <c r="Z24" s="431">
        <v>336210</v>
      </c>
      <c r="AA24" s="121">
        <f t="shared" si="3"/>
        <v>6.048228113615206</v>
      </c>
      <c r="AB24" s="121">
        <f t="shared" si="4"/>
        <v>7.017013352855983</v>
      </c>
      <c r="AC24" s="121"/>
      <c r="AD24" s="314">
        <v>307778</v>
      </c>
      <c r="AE24" s="431">
        <v>317035</v>
      </c>
      <c r="AF24" s="75">
        <f t="shared" si="5"/>
        <v>3.007687359070488</v>
      </c>
      <c r="AH24" s="131"/>
    </row>
    <row r="25" spans="2:34" s="120" customFormat="1" ht="14.25">
      <c r="B25" s="33" t="s">
        <v>12</v>
      </c>
      <c r="C25" s="33"/>
      <c r="D25" s="75">
        <v>19819</v>
      </c>
      <c r="E25" s="75">
        <v>25373</v>
      </c>
      <c r="F25" s="75">
        <v>26599</v>
      </c>
      <c r="G25" s="75">
        <v>28794</v>
      </c>
      <c r="H25" s="121">
        <v>31737</v>
      </c>
      <c r="I25" s="75"/>
      <c r="J25" s="75">
        <v>24042</v>
      </c>
      <c r="K25" s="72">
        <v>24465</v>
      </c>
      <c r="L25" s="72">
        <v>25174</v>
      </c>
      <c r="M25" s="72">
        <v>25373</v>
      </c>
      <c r="N25" s="72">
        <v>26183</v>
      </c>
      <c r="O25" s="72">
        <v>25616</v>
      </c>
      <c r="P25" s="72">
        <v>26424</v>
      </c>
      <c r="Q25" s="72">
        <v>26599</v>
      </c>
      <c r="R25" s="298">
        <v>27430</v>
      </c>
      <c r="S25" s="298">
        <v>28014</v>
      </c>
      <c r="T25" s="298">
        <v>28281</v>
      </c>
      <c r="U25" s="298">
        <v>28794</v>
      </c>
      <c r="V25" s="298">
        <v>29798</v>
      </c>
      <c r="W25" s="298">
        <v>30177</v>
      </c>
      <c r="X25" s="298">
        <v>30529</v>
      </c>
      <c r="Y25" s="298">
        <v>31737</v>
      </c>
      <c r="Z25" s="431">
        <v>32734</v>
      </c>
      <c r="AA25" s="121">
        <f t="shared" si="3"/>
        <v>3.141443740744232</v>
      </c>
      <c r="AB25" s="121">
        <f t="shared" si="4"/>
        <v>9.853010269145578</v>
      </c>
      <c r="AC25" s="121"/>
      <c r="AD25" s="314">
        <v>28794</v>
      </c>
      <c r="AE25" s="431">
        <v>31737</v>
      </c>
      <c r="AF25" s="75">
        <f t="shared" si="5"/>
        <v>10.220879349864553</v>
      </c>
      <c r="AH25" s="131"/>
    </row>
    <row r="26" spans="2:34" ht="14.25">
      <c r="B26" s="22"/>
      <c r="C26" s="22"/>
      <c r="H26" s="121"/>
      <c r="K26" s="107"/>
      <c r="L26" s="107"/>
      <c r="M26" s="107"/>
      <c r="N26" s="107"/>
      <c r="O26" s="107"/>
      <c r="P26" s="107"/>
      <c r="Q26" s="107"/>
      <c r="Z26" s="143"/>
      <c r="AD26" s="107"/>
      <c r="AE26" s="143"/>
      <c r="AH26" s="131"/>
    </row>
    <row r="27" spans="1:34" ht="15">
      <c r="A27" s="40" t="s">
        <v>315</v>
      </c>
      <c r="B27" s="22"/>
      <c r="C27" s="22"/>
      <c r="H27" s="121"/>
      <c r="K27" s="103"/>
      <c r="L27" s="103"/>
      <c r="M27" s="103"/>
      <c r="N27" s="103"/>
      <c r="O27" s="103"/>
      <c r="P27" s="103"/>
      <c r="Q27" s="103"/>
      <c r="Z27" s="143"/>
      <c r="AD27" s="114"/>
      <c r="AE27" s="143"/>
      <c r="AH27" s="131"/>
    </row>
    <row r="28" spans="2:34" s="117" customFormat="1" ht="14.25">
      <c r="B28" s="30" t="s">
        <v>173</v>
      </c>
      <c r="C28" s="87"/>
      <c r="D28" s="86">
        <v>2.04</v>
      </c>
      <c r="E28" s="86">
        <v>2.02</v>
      </c>
      <c r="F28" s="86">
        <v>1.84</v>
      </c>
      <c r="G28" s="86">
        <v>1.77</v>
      </c>
      <c r="H28" s="128">
        <v>1.7</v>
      </c>
      <c r="I28" s="86"/>
      <c r="J28" s="271">
        <v>1.99</v>
      </c>
      <c r="K28" s="272">
        <v>2.01</v>
      </c>
      <c r="L28" s="272">
        <v>2.03</v>
      </c>
      <c r="M28" s="272">
        <v>2.02</v>
      </c>
      <c r="N28" s="272">
        <v>1.93</v>
      </c>
      <c r="O28" s="272">
        <v>1.84</v>
      </c>
      <c r="P28" s="272">
        <v>1.8</v>
      </c>
      <c r="Q28" s="272">
        <v>1.79</v>
      </c>
      <c r="R28" s="299">
        <v>1.8</v>
      </c>
      <c r="S28" s="299">
        <v>1.8</v>
      </c>
      <c r="T28" s="299">
        <v>1.73</v>
      </c>
      <c r="U28" s="299">
        <v>1.73</v>
      </c>
      <c r="V28" s="299">
        <v>1.77</v>
      </c>
      <c r="W28" s="299">
        <v>1.72</v>
      </c>
      <c r="X28" s="299">
        <v>1.67</v>
      </c>
      <c r="Y28" s="299">
        <v>1.62</v>
      </c>
      <c r="Z28" s="452">
        <v>1.64</v>
      </c>
      <c r="AA28" s="361">
        <f>Z28-Y28</f>
        <v>0.019999999999999796</v>
      </c>
      <c r="AB28" s="361">
        <f>Z28-V28</f>
        <v>-0.13000000000000012</v>
      </c>
      <c r="AC28" s="361"/>
      <c r="AD28" s="451">
        <v>1.77</v>
      </c>
      <c r="AE28" s="452">
        <v>1.7</v>
      </c>
      <c r="AF28" s="361">
        <f>AE28-AD28</f>
        <v>-0.07000000000000006</v>
      </c>
      <c r="AG28" s="273"/>
      <c r="AH28" s="131"/>
    </row>
    <row r="29" spans="2:34" s="118" customFormat="1" ht="14.25">
      <c r="B29" s="83" t="s">
        <v>13</v>
      </c>
      <c r="C29" s="83"/>
      <c r="D29" s="84">
        <v>28.69</v>
      </c>
      <c r="E29" s="84">
        <v>32.53</v>
      </c>
      <c r="F29" s="84">
        <v>38.9</v>
      </c>
      <c r="G29" s="84">
        <v>36.8</v>
      </c>
      <c r="H29" s="407">
        <v>34.46180555555556</v>
      </c>
      <c r="I29" s="84"/>
      <c r="J29" s="84">
        <v>35.26</v>
      </c>
      <c r="K29" s="85">
        <v>37.9</v>
      </c>
      <c r="L29" s="85">
        <v>27.71</v>
      </c>
      <c r="M29" s="85">
        <v>28.31</v>
      </c>
      <c r="N29" s="85">
        <v>37.8</v>
      </c>
      <c r="O29" s="85">
        <v>41.2</v>
      </c>
      <c r="P29" s="85">
        <v>40.4</v>
      </c>
      <c r="Q29" s="85">
        <v>36</v>
      </c>
      <c r="R29" s="300">
        <v>41.2</v>
      </c>
      <c r="S29" s="300">
        <v>34.8</v>
      </c>
      <c r="T29" s="300">
        <v>38.3</v>
      </c>
      <c r="U29" s="300">
        <v>32.7</v>
      </c>
      <c r="V29" s="300">
        <v>38</v>
      </c>
      <c r="W29" s="300">
        <v>31.9</v>
      </c>
      <c r="X29" s="300">
        <v>33.532934131736525</v>
      </c>
      <c r="Y29" s="300">
        <v>33.996937212863706</v>
      </c>
      <c r="Z29" s="455">
        <v>42.7</v>
      </c>
      <c r="AA29" s="300">
        <f aca="true" t="shared" si="6" ref="AA29:AA37">Z29-Y29</f>
        <v>8.703062787136297</v>
      </c>
      <c r="AB29" s="300">
        <f aca="true" t="shared" si="7" ref="AB29:AB37">Z29-V29</f>
        <v>4.700000000000003</v>
      </c>
      <c r="AC29" s="84"/>
      <c r="AD29" s="407">
        <v>36.8</v>
      </c>
      <c r="AE29" s="455">
        <f>SUM(AE6:AE7)/AE8*100</f>
        <v>34.46180555555556</v>
      </c>
      <c r="AF29" s="84">
        <f>AE29-AD29</f>
        <v>-2.33819444444444</v>
      </c>
      <c r="AH29" s="274"/>
    </row>
    <row r="30" spans="2:34" s="118" customFormat="1" ht="14.25">
      <c r="B30" s="83" t="s">
        <v>14</v>
      </c>
      <c r="C30" s="83"/>
      <c r="D30" s="84">
        <v>43.28</v>
      </c>
      <c r="E30" s="84">
        <v>39.44</v>
      </c>
      <c r="F30" s="84">
        <v>41.4</v>
      </c>
      <c r="G30" s="84">
        <v>43.3</v>
      </c>
      <c r="H30" s="407">
        <v>44.81646825396825</v>
      </c>
      <c r="I30" s="84"/>
      <c r="J30" s="274">
        <v>38.39</v>
      </c>
      <c r="K30" s="275">
        <v>35.21</v>
      </c>
      <c r="L30" s="275">
        <v>40.27</v>
      </c>
      <c r="M30" s="275">
        <v>44.53</v>
      </c>
      <c r="N30" s="275">
        <v>41</v>
      </c>
      <c r="O30" s="275">
        <v>39.5</v>
      </c>
      <c r="P30" s="275">
        <v>40.1</v>
      </c>
      <c r="Q30" s="275">
        <v>45.1</v>
      </c>
      <c r="R30" s="300">
        <v>40.5</v>
      </c>
      <c r="S30" s="300">
        <v>43.4</v>
      </c>
      <c r="T30" s="300">
        <v>43</v>
      </c>
      <c r="U30" s="300">
        <v>46.2</v>
      </c>
      <c r="V30" s="300">
        <v>41.7</v>
      </c>
      <c r="W30" s="300">
        <v>44.8</v>
      </c>
      <c r="X30" s="300">
        <v>44.96007984031936</v>
      </c>
      <c r="Y30" s="300">
        <v>48.1368044920878</v>
      </c>
      <c r="Z30" s="455">
        <f>Z9/Z8*100</f>
        <v>41.08761329305136</v>
      </c>
      <c r="AA30" s="300">
        <f t="shared" si="6"/>
        <v>-7.049191199036436</v>
      </c>
      <c r="AB30" s="300">
        <f t="shared" si="7"/>
        <v>-0.6123867069486408</v>
      </c>
      <c r="AC30" s="274"/>
      <c r="AD30" s="411">
        <v>43.3</v>
      </c>
      <c r="AE30" s="455">
        <f>AE9/AE8*100</f>
        <v>44.81646825396825</v>
      </c>
      <c r="AF30" s="274">
        <f aca="true" t="shared" si="8" ref="AF30:AF36">AE30-AD30</f>
        <v>1.516468253968256</v>
      </c>
      <c r="AG30" s="276"/>
      <c r="AH30" s="274"/>
    </row>
    <row r="31" spans="2:34" s="117" customFormat="1" ht="14.25">
      <c r="B31" s="30" t="s">
        <v>174</v>
      </c>
      <c r="C31" s="30"/>
      <c r="D31" s="86">
        <v>0.84</v>
      </c>
      <c r="E31" s="86">
        <v>0.8</v>
      </c>
      <c r="F31" s="86">
        <v>0.98</v>
      </c>
      <c r="G31" s="86">
        <v>0.97</v>
      </c>
      <c r="H31" s="121">
        <v>0.97</v>
      </c>
      <c r="I31" s="86"/>
      <c r="J31" s="271">
        <v>0.69</v>
      </c>
      <c r="K31" s="272">
        <v>0.82</v>
      </c>
      <c r="L31" s="272">
        <v>0.86</v>
      </c>
      <c r="M31" s="272">
        <v>0.76</v>
      </c>
      <c r="N31" s="272">
        <v>0.82</v>
      </c>
      <c r="O31" s="272">
        <v>1.07</v>
      </c>
      <c r="P31" s="272">
        <v>1.04</v>
      </c>
      <c r="Q31" s="272">
        <v>0.96</v>
      </c>
      <c r="R31" s="299">
        <v>1.14</v>
      </c>
      <c r="S31" s="299">
        <v>0.98</v>
      </c>
      <c r="T31" s="299">
        <v>0.93</v>
      </c>
      <c r="U31" s="299">
        <v>0.85</v>
      </c>
      <c r="V31" s="299">
        <v>1.09</v>
      </c>
      <c r="W31" s="299">
        <v>0.93</v>
      </c>
      <c r="X31" s="299">
        <v>0.95</v>
      </c>
      <c r="Y31" s="299">
        <v>0.85</v>
      </c>
      <c r="Z31" s="452">
        <v>1.06</v>
      </c>
      <c r="AA31" s="361">
        <f t="shared" si="6"/>
        <v>0.21000000000000008</v>
      </c>
      <c r="AB31" s="361">
        <f t="shared" si="7"/>
        <v>-0.030000000000000027</v>
      </c>
      <c r="AC31" s="271"/>
      <c r="AD31" s="361">
        <v>0.97</v>
      </c>
      <c r="AE31" s="452">
        <v>0.97</v>
      </c>
      <c r="AF31" s="271">
        <f>AE31-AD31</f>
        <v>0</v>
      </c>
      <c r="AH31" s="131"/>
    </row>
    <row r="32" spans="2:34" s="118" customFormat="1" ht="14.25">
      <c r="B32" s="83" t="s">
        <v>175</v>
      </c>
      <c r="C32" s="83"/>
      <c r="D32" s="84">
        <v>10.12</v>
      </c>
      <c r="E32" s="84">
        <v>8.44</v>
      </c>
      <c r="F32" s="84">
        <v>10.2</v>
      </c>
      <c r="G32" s="84">
        <v>11</v>
      </c>
      <c r="H32" s="407">
        <v>11.2</v>
      </c>
      <c r="I32" s="84"/>
      <c r="J32" s="84">
        <v>8.01</v>
      </c>
      <c r="K32" s="85">
        <v>9.1</v>
      </c>
      <c r="L32" s="85">
        <v>9.08</v>
      </c>
      <c r="M32" s="85">
        <v>7.76</v>
      </c>
      <c r="N32" s="85">
        <v>8.24</v>
      </c>
      <c r="O32" s="85">
        <v>11.08</v>
      </c>
      <c r="P32" s="85">
        <v>11.06</v>
      </c>
      <c r="Q32" s="85">
        <v>10.22</v>
      </c>
      <c r="R32" s="300">
        <v>12.12</v>
      </c>
      <c r="S32" s="300">
        <v>10.62</v>
      </c>
      <c r="T32" s="300">
        <v>10.77</v>
      </c>
      <c r="U32" s="300">
        <v>10.2</v>
      </c>
      <c r="V32" s="300">
        <v>12.8</v>
      </c>
      <c r="W32" s="300">
        <v>10.9</v>
      </c>
      <c r="X32" s="300">
        <v>11.2</v>
      </c>
      <c r="Y32" s="300">
        <v>9.8</v>
      </c>
      <c r="Z32" s="455">
        <v>12</v>
      </c>
      <c r="AA32" s="300">
        <f t="shared" si="6"/>
        <v>2.1999999999999993</v>
      </c>
      <c r="AB32" s="300">
        <f t="shared" si="7"/>
        <v>-0.8000000000000007</v>
      </c>
      <c r="AC32" s="84"/>
      <c r="AD32" s="407">
        <v>11</v>
      </c>
      <c r="AE32" s="455">
        <v>11.2</v>
      </c>
      <c r="AF32" s="84">
        <f>AE32-AD32</f>
        <v>0.1999999999999993</v>
      </c>
      <c r="AH32" s="274"/>
    </row>
    <row r="33" spans="2:34" s="118" customFormat="1" ht="14.25">
      <c r="B33" s="83" t="s">
        <v>176</v>
      </c>
      <c r="C33" s="83"/>
      <c r="D33" s="84">
        <v>74.46</v>
      </c>
      <c r="E33" s="84">
        <v>71.19</v>
      </c>
      <c r="F33" s="84">
        <v>78.5</v>
      </c>
      <c r="G33" s="84">
        <v>86.4</v>
      </c>
      <c r="H33" s="121">
        <v>86.66650199459052</v>
      </c>
      <c r="I33" s="84"/>
      <c r="J33" s="84">
        <v>72.61</v>
      </c>
      <c r="K33" s="85">
        <v>71.48</v>
      </c>
      <c r="L33" s="85">
        <v>71.21</v>
      </c>
      <c r="M33" s="85">
        <v>71.19</v>
      </c>
      <c r="N33" s="85">
        <v>73.8</v>
      </c>
      <c r="O33" s="85">
        <v>79.4</v>
      </c>
      <c r="P33" s="85">
        <v>79.8</v>
      </c>
      <c r="Q33" s="85">
        <v>78.5</v>
      </c>
      <c r="R33" s="300">
        <v>78.9</v>
      </c>
      <c r="S33" s="300">
        <v>80.1</v>
      </c>
      <c r="T33" s="300">
        <v>84.5</v>
      </c>
      <c r="U33" s="300">
        <v>86.4</v>
      </c>
      <c r="V33" s="300">
        <v>85.1</v>
      </c>
      <c r="W33" s="300">
        <v>89</v>
      </c>
      <c r="X33" s="300">
        <v>84.30955374763717</v>
      </c>
      <c r="Y33" s="300">
        <v>86.66650199459052</v>
      </c>
      <c r="Z33" s="455">
        <f>Z19/Z22*100</f>
        <v>89.17728206048282</v>
      </c>
      <c r="AA33" s="300">
        <f t="shared" si="6"/>
        <v>2.5107800658923054</v>
      </c>
      <c r="AB33" s="300">
        <f t="shared" si="7"/>
        <v>4.07728206048283</v>
      </c>
      <c r="AC33" s="84"/>
      <c r="AD33" s="407">
        <v>86.4</v>
      </c>
      <c r="AE33" s="455">
        <f>AE19/AE22*100</f>
        <v>86.66650199459052</v>
      </c>
      <c r="AF33" s="84">
        <f t="shared" si="8"/>
        <v>0.26650199459051294</v>
      </c>
      <c r="AH33" s="131"/>
    </row>
    <row r="34" spans="2:34" s="118" customFormat="1" ht="14.25">
      <c r="B34" s="83" t="s">
        <v>15</v>
      </c>
      <c r="C34" s="83"/>
      <c r="D34" s="84">
        <v>1.5</v>
      </c>
      <c r="E34" s="84">
        <v>2.9</v>
      </c>
      <c r="F34" s="84">
        <v>1.9</v>
      </c>
      <c r="G34" s="84">
        <v>1.3</v>
      </c>
      <c r="H34" s="121">
        <v>1.2</v>
      </c>
      <c r="I34" s="84"/>
      <c r="J34" s="84">
        <v>2</v>
      </c>
      <c r="K34" s="85">
        <v>2.8</v>
      </c>
      <c r="L34" s="85">
        <v>2.6</v>
      </c>
      <c r="M34" s="85">
        <v>2.9</v>
      </c>
      <c r="N34" s="85">
        <v>2.7</v>
      </c>
      <c r="O34" s="85">
        <v>2.3</v>
      </c>
      <c r="P34" s="85">
        <v>2.1</v>
      </c>
      <c r="Q34" s="85">
        <v>1.9</v>
      </c>
      <c r="R34" s="301">
        <v>1.8</v>
      </c>
      <c r="S34" s="301">
        <v>1.5</v>
      </c>
      <c r="T34" s="301">
        <v>1.3</v>
      </c>
      <c r="U34" s="301">
        <v>1.3</v>
      </c>
      <c r="V34" s="301">
        <v>1.3</v>
      </c>
      <c r="W34" s="301">
        <v>1.3</v>
      </c>
      <c r="X34" s="301">
        <v>1.3</v>
      </c>
      <c r="Y34" s="301">
        <v>1.2</v>
      </c>
      <c r="Z34" s="455">
        <v>1.2</v>
      </c>
      <c r="AA34" s="301">
        <f t="shared" si="6"/>
        <v>0</v>
      </c>
      <c r="AB34" s="301">
        <f t="shared" si="7"/>
        <v>-0.10000000000000009</v>
      </c>
      <c r="AC34" s="407"/>
      <c r="AD34" s="407">
        <v>1.3</v>
      </c>
      <c r="AE34" s="455">
        <v>1.2</v>
      </c>
      <c r="AF34" s="84">
        <f t="shared" si="8"/>
        <v>-0.10000000000000009</v>
      </c>
      <c r="AH34" s="131"/>
    </row>
    <row r="35" spans="2:34" s="120" customFormat="1" ht="14.25">
      <c r="B35" s="33" t="s">
        <v>183</v>
      </c>
      <c r="C35" s="33"/>
      <c r="D35" s="75">
        <v>35</v>
      </c>
      <c r="E35" s="75">
        <v>85</v>
      </c>
      <c r="F35" s="75">
        <v>43</v>
      </c>
      <c r="G35" s="75">
        <v>11</v>
      </c>
      <c r="H35" s="121">
        <v>10</v>
      </c>
      <c r="I35" s="75"/>
      <c r="J35" s="75">
        <v>70</v>
      </c>
      <c r="K35" s="264">
        <v>83</v>
      </c>
      <c r="L35" s="264">
        <v>70</v>
      </c>
      <c r="M35" s="264">
        <v>116</v>
      </c>
      <c r="N35" s="264">
        <v>97</v>
      </c>
      <c r="O35" s="264">
        <v>19</v>
      </c>
      <c r="P35" s="264">
        <v>33</v>
      </c>
      <c r="Q35" s="264">
        <v>25</v>
      </c>
      <c r="R35" s="302">
        <v>9</v>
      </c>
      <c r="S35" s="302">
        <v>7</v>
      </c>
      <c r="T35" s="302">
        <v>9</v>
      </c>
      <c r="U35" s="302">
        <v>19</v>
      </c>
      <c r="V35" s="302">
        <v>9</v>
      </c>
      <c r="W35" s="302">
        <v>8</v>
      </c>
      <c r="X35" s="302">
        <v>7</v>
      </c>
      <c r="Y35" s="302">
        <v>15</v>
      </c>
      <c r="Z35" s="396">
        <v>21</v>
      </c>
      <c r="AA35" s="302">
        <f t="shared" si="6"/>
        <v>6</v>
      </c>
      <c r="AB35" s="302">
        <f t="shared" si="7"/>
        <v>12</v>
      </c>
      <c r="AC35" s="121"/>
      <c r="AD35" s="121">
        <v>11</v>
      </c>
      <c r="AE35" s="396">
        <v>10</v>
      </c>
      <c r="AF35" s="75">
        <f t="shared" si="8"/>
        <v>-1</v>
      </c>
      <c r="AH35" s="131"/>
    </row>
    <row r="36" spans="2:34" s="118" customFormat="1" ht="14.25">
      <c r="B36" s="83" t="s">
        <v>181</v>
      </c>
      <c r="C36" s="83"/>
      <c r="D36" s="84">
        <v>10.1</v>
      </c>
      <c r="E36" s="84">
        <v>13.1</v>
      </c>
      <c r="F36" s="84">
        <v>15.1</v>
      </c>
      <c r="G36" s="84">
        <v>12.9</v>
      </c>
      <c r="H36" s="121">
        <v>14</v>
      </c>
      <c r="I36" s="84"/>
      <c r="J36" s="84">
        <v>12.5</v>
      </c>
      <c r="K36" s="85">
        <v>12.6</v>
      </c>
      <c r="L36" s="85">
        <v>12.5</v>
      </c>
      <c r="M36" s="85">
        <v>13.1</v>
      </c>
      <c r="N36" s="85">
        <v>13.4</v>
      </c>
      <c r="O36" s="85">
        <v>13.1</v>
      </c>
      <c r="P36" s="85">
        <v>13.1</v>
      </c>
      <c r="Q36" s="85">
        <v>15.1</v>
      </c>
      <c r="R36" s="300">
        <v>14.2</v>
      </c>
      <c r="S36" s="300">
        <v>13.5</v>
      </c>
      <c r="T36" s="300">
        <v>12.6</v>
      </c>
      <c r="U36" s="300">
        <v>12.9</v>
      </c>
      <c r="V36" s="300">
        <v>12.7</v>
      </c>
      <c r="W36" s="300">
        <v>12.8</v>
      </c>
      <c r="X36" s="300">
        <v>13.4</v>
      </c>
      <c r="Y36" s="300">
        <v>14</v>
      </c>
      <c r="Z36" s="455">
        <v>12.9</v>
      </c>
      <c r="AA36" s="300">
        <f t="shared" si="6"/>
        <v>-1.0999999999999996</v>
      </c>
      <c r="AB36" s="300">
        <f t="shared" si="7"/>
        <v>0.20000000000000107</v>
      </c>
      <c r="AC36" s="407"/>
      <c r="AD36" s="407">
        <v>12.9</v>
      </c>
      <c r="AE36" s="455">
        <v>14</v>
      </c>
      <c r="AF36" s="407">
        <f t="shared" si="8"/>
        <v>1.0999999999999996</v>
      </c>
      <c r="AH36" s="131"/>
    </row>
    <row r="37" spans="2:34" s="118" customFormat="1" ht="14.25">
      <c r="B37" s="83" t="s">
        <v>182</v>
      </c>
      <c r="C37" s="83"/>
      <c r="D37" s="84">
        <v>14</v>
      </c>
      <c r="E37" s="84">
        <v>16.7</v>
      </c>
      <c r="F37" s="84">
        <v>18.4</v>
      </c>
      <c r="G37" s="84">
        <v>15.8</v>
      </c>
      <c r="H37" s="121">
        <v>17.1</v>
      </c>
      <c r="I37" s="84"/>
      <c r="J37" s="84">
        <v>16.7</v>
      </c>
      <c r="K37" s="85">
        <v>16.2</v>
      </c>
      <c r="L37" s="85">
        <v>16.1</v>
      </c>
      <c r="M37" s="85">
        <v>16.7</v>
      </c>
      <c r="N37" s="85">
        <v>17.1</v>
      </c>
      <c r="O37" s="85">
        <v>16.5</v>
      </c>
      <c r="P37" s="85">
        <v>16.3</v>
      </c>
      <c r="Q37" s="85">
        <v>18.4</v>
      </c>
      <c r="R37" s="84">
        <v>17.2</v>
      </c>
      <c r="S37" s="84">
        <v>16.5</v>
      </c>
      <c r="T37" s="84">
        <v>15.5</v>
      </c>
      <c r="U37" s="84">
        <v>15.8</v>
      </c>
      <c r="V37" s="84">
        <v>16.4</v>
      </c>
      <c r="W37" s="84">
        <v>15.4</v>
      </c>
      <c r="X37" s="84">
        <v>16.5</v>
      </c>
      <c r="Y37" s="84">
        <v>17.1</v>
      </c>
      <c r="Z37" s="455">
        <v>15.5</v>
      </c>
      <c r="AA37" s="84">
        <f t="shared" si="6"/>
        <v>-1.6000000000000014</v>
      </c>
      <c r="AB37" s="84">
        <f t="shared" si="7"/>
        <v>-0.8999999999999986</v>
      </c>
      <c r="AC37" s="407"/>
      <c r="AD37" s="407">
        <v>15.8</v>
      </c>
      <c r="AE37" s="455">
        <v>17.1</v>
      </c>
      <c r="AF37" s="407">
        <f>AE37-AD37</f>
        <v>1.3000000000000007</v>
      </c>
      <c r="AH37" s="131"/>
    </row>
    <row r="38" spans="8:32" ht="14.25">
      <c r="H38" s="121"/>
      <c r="Z38" s="122"/>
      <c r="AA38" s="84"/>
      <c r="AB38" s="84"/>
      <c r="AC38" s="121"/>
      <c r="AD38" s="121"/>
      <c r="AE38" s="122"/>
      <c r="AF38" s="121"/>
    </row>
    <row r="39" spans="26:32" ht="14.25">
      <c r="Z39" s="122"/>
      <c r="AA39" s="121"/>
      <c r="AB39" s="121"/>
      <c r="AC39" s="121"/>
      <c r="AD39" s="121"/>
      <c r="AE39" s="122"/>
      <c r="AF39" s="121"/>
    </row>
    <row r="40" spans="26:32" ht="14.25">
      <c r="Z40" s="122"/>
      <c r="AA40" s="121"/>
      <c r="AB40" s="121"/>
      <c r="AC40" s="121"/>
      <c r="AD40" s="121"/>
      <c r="AE40" s="122"/>
      <c r="AF40" s="121"/>
    </row>
    <row r="41" spans="26:32" ht="14.25">
      <c r="Z41" s="122"/>
      <c r="AA41" s="121"/>
      <c r="AB41" s="121"/>
      <c r="AC41" s="121"/>
      <c r="AD41" s="121"/>
      <c r="AE41" s="122"/>
      <c r="AF41" s="121"/>
    </row>
    <row r="42" spans="26:32" ht="14.25">
      <c r="Z42" s="122"/>
      <c r="AA42" s="121"/>
      <c r="AB42" s="121"/>
      <c r="AC42" s="121"/>
      <c r="AD42" s="121"/>
      <c r="AE42" s="122"/>
      <c r="AF42" s="121"/>
    </row>
    <row r="43" ht="14.25">
      <c r="Z43" s="143"/>
    </row>
    <row r="44" ht="14.25">
      <c r="Z44" s="143"/>
    </row>
    <row r="45" ht="14.25">
      <c r="Z45" s="143"/>
    </row>
  </sheetData>
  <sheetProtection/>
  <mergeCells count="1">
    <mergeCell ref="A2:C2"/>
  </mergeCells>
  <hyperlinks>
    <hyperlink ref="A2" location="Index!A1" display="Back to Index"/>
  </hyperlinks>
  <printOptions gridLines="1"/>
  <pageMargins left="0.5" right="0.25" top="1" bottom="1" header="0.5" footer="0.5"/>
  <pageSetup fitToHeight="1" fitToWidth="1" horizontalDpi="600" verticalDpi="600" orientation="landscape" paperSize="9" scale="81" r:id="rId1"/>
  <headerFooter alignWithMargins="0">
    <oddFooter>&amp;R&amp;F&amp;A</oddFooter>
  </headerFooter>
  <ignoredErrors>
    <ignoredError sqref="AE29" formulaRange="1"/>
    <ignoredError sqref="Z30" evalError="1"/>
    <ignoredError sqref="AF23" formula="1"/>
  </ignoredErrors>
</worksheet>
</file>

<file path=xl/worksheets/sheet20.xml><?xml version="1.0" encoding="utf-8"?>
<worksheet xmlns="http://schemas.openxmlformats.org/spreadsheetml/2006/main" xmlns:r="http://schemas.openxmlformats.org/officeDocument/2006/relationships">
  <sheetPr>
    <tabColor indexed="18"/>
    <pageSetUpPr fitToPage="1"/>
  </sheetPr>
  <dimension ref="A1:AF30"/>
  <sheetViews>
    <sheetView zoomScale="80" zoomScaleNormal="80" zoomScalePageLayoutView="0" workbookViewId="0" topLeftCell="A1">
      <pane xSplit="3" ySplit="2" topLeftCell="O3" activePane="bottomRight" state="frozen"/>
      <selection pane="topLeft" activeCell="P25" sqref="P25"/>
      <selection pane="topRight" activeCell="P25" sqref="P25"/>
      <selection pane="bottomLeft" activeCell="P25" sqref="P25"/>
      <selection pane="bottomRight" activeCell="Z13" sqref="Z13"/>
    </sheetView>
  </sheetViews>
  <sheetFormatPr defaultColWidth="9.140625" defaultRowHeight="12.75" outlineLevelCol="1"/>
  <cols>
    <col min="1" max="1" width="4.00390625" style="20" customWidth="1"/>
    <col min="2" max="2" width="4.28125" style="20" customWidth="1"/>
    <col min="3" max="3" width="33.00390625" style="5" customWidth="1"/>
    <col min="4" max="4" width="9.8515625" style="126" hidden="1" customWidth="1" outlineLevel="1"/>
    <col min="5" max="8" width="9.8515625" style="121" hidden="1" customWidth="1" outlineLevel="1"/>
    <col min="9" max="9" width="2.140625" style="121" hidden="1" customWidth="1" outlineLevel="1"/>
    <col min="10" max="17" width="9.8515625" style="121" hidden="1" customWidth="1" outlineLevel="1"/>
    <col min="18" max="19" width="9.8515625" style="121" hidden="1" customWidth="1" outlineLevel="1" collapsed="1"/>
    <col min="20" max="21" width="9.8515625" style="121" hidden="1" customWidth="1" outlineLevel="1"/>
    <col min="22" max="22" width="9.8515625" style="121" customWidth="1" collapsed="1"/>
    <col min="23" max="25" width="9.8515625" style="121" customWidth="1"/>
    <col min="26" max="26" width="9.8515625" style="122" bestFit="1" customWidth="1"/>
    <col min="27" max="28" width="6.57421875" style="121" bestFit="1" customWidth="1"/>
    <col min="29" max="29" width="3.421875" style="121" customWidth="1"/>
    <col min="30" max="30" width="9.8515625" style="121" hidden="1" customWidth="1"/>
    <col min="31" max="31" width="10.421875" style="122" hidden="1" customWidth="1"/>
    <col min="32" max="32" width="10.140625" style="121" hidden="1" customWidth="1"/>
    <col min="33" max="16384" width="9.140625" style="20" customWidth="1"/>
  </cols>
  <sheetData>
    <row r="1" spans="1:32" s="42" customFormat="1" ht="20.25">
      <c r="A1" s="41" t="s">
        <v>48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41"/>
      <c r="AA3" s="17"/>
      <c r="AB3" s="17"/>
      <c r="AC3" s="32"/>
      <c r="AD3" s="17"/>
      <c r="AE3" s="365"/>
      <c r="AF3" s="17"/>
    </row>
    <row r="4" spans="2:32" ht="14.25">
      <c r="B4" s="101" t="s">
        <v>5</v>
      </c>
      <c r="C4" s="20"/>
      <c r="D4" s="121">
        <v>2869</v>
      </c>
      <c r="E4" s="121">
        <v>2738</v>
      </c>
      <c r="F4" s="121">
        <v>2683</v>
      </c>
      <c r="G4" s="121">
        <v>2906</v>
      </c>
      <c r="H4" s="121">
        <v>3209</v>
      </c>
      <c r="J4" s="121">
        <v>655</v>
      </c>
      <c r="K4" s="121">
        <v>673</v>
      </c>
      <c r="L4" s="121">
        <v>706</v>
      </c>
      <c r="M4" s="121">
        <v>704</v>
      </c>
      <c r="N4" s="121">
        <v>657</v>
      </c>
      <c r="O4" s="121">
        <v>643</v>
      </c>
      <c r="P4" s="121">
        <v>679</v>
      </c>
      <c r="Q4" s="121">
        <v>704</v>
      </c>
      <c r="R4" s="121">
        <v>700</v>
      </c>
      <c r="S4" s="121">
        <v>728</v>
      </c>
      <c r="T4" s="121">
        <v>712</v>
      </c>
      <c r="U4" s="121">
        <v>766</v>
      </c>
      <c r="V4" s="121">
        <v>809</v>
      </c>
      <c r="W4" s="121">
        <v>782</v>
      </c>
      <c r="X4" s="121">
        <v>813</v>
      </c>
      <c r="Y4" s="121">
        <v>805</v>
      </c>
      <c r="Z4" s="122">
        <v>835</v>
      </c>
      <c r="AA4" s="121">
        <f aca="true" t="shared" si="0" ref="AA4:AA12">IF(AND(Z4=0,Y4=0),0,IF(OR(AND(Z4&gt;0,Y4&lt;=0),AND(Z4&lt;0,Y4&gt;=0)),"nm",IF(AND(Z4&lt;0,Y4&lt;0),IF(-(Z4/Y4-1)*100&lt;-100,"(&gt;100)",-(Z4/Y4-1)*100),IF((Z4/Y4-1)*100&gt;100,"&gt;100",(Z4/Y4-1)*100))))</f>
        <v>3.7267080745341685</v>
      </c>
      <c r="AB4" s="121">
        <f aca="true" t="shared" si="1" ref="AB4:AB12">IF(AND(Z4=0,V4=0),0,IF(OR(AND(Z4&gt;0,V4&lt;=0),AND(Z4&lt;0,V4&gt;=0)),"nm",IF(AND(Z4&lt;0,V4&lt;0),IF(-(Z4/V4-1)*100&lt;-100,"(&gt;100)",-(Z4/V4-1)*100),IF((Z4/V4-1)*100&gt;100,"&gt;100",(Z4/V4-1)*100))))</f>
        <v>3.213844252163156</v>
      </c>
      <c r="AD4" s="121">
        <v>2906</v>
      </c>
      <c r="AE4" s="122">
        <v>3209</v>
      </c>
      <c r="AF4" s="121">
        <f aca="true" t="shared" si="2" ref="AF4:AF12">IF(AND(AE4=0,AD4=0),0,IF(OR(AND(AE4&gt;0,AD4&lt;=0),AND(AE4&lt;0,AD4&gt;=0)),"nm",IF(AND(AE4&lt;0,AD4&lt;0),IF(-(AE4/AD4-1)*100&lt;-100,"(&gt;100)",-(AE4/AD4-1)*100),IF((AE4/AD4-1)*100&gt;100,"&gt;100",(AE4/AD4-1)*100))))</f>
        <v>10.426703372333112</v>
      </c>
    </row>
    <row r="5" spans="2:32" ht="14.25">
      <c r="B5" s="101" t="s">
        <v>25</v>
      </c>
      <c r="C5" s="20"/>
      <c r="D5" s="121">
        <v>803</v>
      </c>
      <c r="E5" s="121">
        <v>1253</v>
      </c>
      <c r="F5" s="121">
        <v>1743</v>
      </c>
      <c r="G5" s="121">
        <v>1813</v>
      </c>
      <c r="H5" s="121">
        <v>1757</v>
      </c>
      <c r="J5" s="121">
        <v>304</v>
      </c>
      <c r="K5" s="121">
        <v>471</v>
      </c>
      <c r="L5" s="121">
        <v>228</v>
      </c>
      <c r="M5" s="121">
        <v>250</v>
      </c>
      <c r="N5" s="121">
        <v>369</v>
      </c>
      <c r="O5" s="121">
        <v>513</v>
      </c>
      <c r="P5" s="121">
        <v>444</v>
      </c>
      <c r="Q5" s="121">
        <v>417</v>
      </c>
      <c r="R5" s="121">
        <v>466</v>
      </c>
      <c r="S5" s="121">
        <v>394</v>
      </c>
      <c r="T5" s="121">
        <v>549</v>
      </c>
      <c r="U5" s="121">
        <v>404</v>
      </c>
      <c r="V5" s="121">
        <v>527</v>
      </c>
      <c r="W5" s="121">
        <v>374</v>
      </c>
      <c r="X5" s="121">
        <v>463</v>
      </c>
      <c r="Y5" s="121">
        <v>393</v>
      </c>
      <c r="Z5" s="122">
        <v>614</v>
      </c>
      <c r="AA5" s="121">
        <f t="shared" si="0"/>
        <v>56.23409669211197</v>
      </c>
      <c r="AB5" s="121">
        <f t="shared" si="1"/>
        <v>16.508538899430736</v>
      </c>
      <c r="AD5" s="121">
        <v>1813</v>
      </c>
      <c r="AE5" s="122">
        <v>1757</v>
      </c>
      <c r="AF5" s="121">
        <f t="shared" si="2"/>
        <v>-3.0888030888030937</v>
      </c>
    </row>
    <row r="6" spans="2:32" ht="14.25">
      <c r="B6" s="101" t="s">
        <v>6</v>
      </c>
      <c r="C6" s="20"/>
      <c r="D6" s="121">
        <v>3672</v>
      </c>
      <c r="E6" s="121">
        <v>3991</v>
      </c>
      <c r="F6" s="121">
        <v>4426</v>
      </c>
      <c r="G6" s="121">
        <v>4719</v>
      </c>
      <c r="H6" s="121">
        <v>4966</v>
      </c>
      <c r="J6" s="121">
        <v>959</v>
      </c>
      <c r="K6" s="121">
        <v>1144</v>
      </c>
      <c r="L6" s="121">
        <v>934</v>
      </c>
      <c r="M6" s="121">
        <v>954</v>
      </c>
      <c r="N6" s="121">
        <v>1026</v>
      </c>
      <c r="O6" s="121">
        <v>1156</v>
      </c>
      <c r="P6" s="121">
        <v>1123</v>
      </c>
      <c r="Q6" s="121">
        <v>1121</v>
      </c>
      <c r="R6" s="121">
        <v>1166</v>
      </c>
      <c r="S6" s="121">
        <v>1122</v>
      </c>
      <c r="T6" s="121">
        <v>1261</v>
      </c>
      <c r="U6" s="121">
        <v>1170</v>
      </c>
      <c r="V6" s="121">
        <v>1336</v>
      </c>
      <c r="W6" s="121">
        <v>1156</v>
      </c>
      <c r="X6" s="121">
        <v>1276</v>
      </c>
      <c r="Y6" s="121">
        <v>1198</v>
      </c>
      <c r="Z6" s="122">
        <f>SUM(Z4:Z5)</f>
        <v>1449</v>
      </c>
      <c r="AA6" s="121">
        <f t="shared" si="0"/>
        <v>20.95158597662772</v>
      </c>
      <c r="AB6" s="121">
        <f t="shared" si="1"/>
        <v>8.458083832335328</v>
      </c>
      <c r="AD6" s="121">
        <v>4719</v>
      </c>
      <c r="AE6" s="122">
        <v>4966</v>
      </c>
      <c r="AF6" s="121">
        <f t="shared" si="2"/>
        <v>5.234159779614322</v>
      </c>
    </row>
    <row r="7" spans="2:32" ht="14.25">
      <c r="B7" s="101" t="s">
        <v>0</v>
      </c>
      <c r="C7" s="20"/>
      <c r="D7" s="121">
        <v>1467</v>
      </c>
      <c r="E7" s="121">
        <v>1512</v>
      </c>
      <c r="F7" s="121">
        <v>1611</v>
      </c>
      <c r="G7" s="121">
        <v>1948</v>
      </c>
      <c r="H7" s="121">
        <v>2088</v>
      </c>
      <c r="J7" s="121">
        <v>375</v>
      </c>
      <c r="K7" s="121">
        <v>360</v>
      </c>
      <c r="L7" s="121">
        <v>367</v>
      </c>
      <c r="M7" s="121">
        <v>410</v>
      </c>
      <c r="N7" s="121">
        <v>419</v>
      </c>
      <c r="O7" s="121">
        <v>323</v>
      </c>
      <c r="P7" s="121">
        <v>424</v>
      </c>
      <c r="Q7" s="121">
        <v>445</v>
      </c>
      <c r="R7" s="121">
        <v>465</v>
      </c>
      <c r="S7" s="121">
        <v>476</v>
      </c>
      <c r="T7" s="121">
        <v>517</v>
      </c>
      <c r="U7" s="121">
        <v>490</v>
      </c>
      <c r="V7" s="121">
        <v>554</v>
      </c>
      <c r="W7" s="121">
        <v>505</v>
      </c>
      <c r="X7" s="121">
        <v>527</v>
      </c>
      <c r="Y7" s="121">
        <v>502</v>
      </c>
      <c r="Z7" s="122">
        <v>579</v>
      </c>
      <c r="AA7" s="121">
        <f t="shared" si="0"/>
        <v>15.338645418326703</v>
      </c>
      <c r="AB7" s="121">
        <f t="shared" si="1"/>
        <v>4.512635379061369</v>
      </c>
      <c r="AD7" s="121">
        <v>1948</v>
      </c>
      <c r="AE7" s="122">
        <v>2088</v>
      </c>
      <c r="AF7" s="121">
        <f t="shared" si="2"/>
        <v>7.186858316221767</v>
      </c>
    </row>
    <row r="8" spans="2:32" ht="14.25">
      <c r="B8" s="101" t="s">
        <v>8</v>
      </c>
      <c r="C8" s="20"/>
      <c r="D8" s="121">
        <v>423</v>
      </c>
      <c r="E8" s="121">
        <v>1034</v>
      </c>
      <c r="F8" s="121">
        <v>652</v>
      </c>
      <c r="G8" s="121">
        <v>492</v>
      </c>
      <c r="H8" s="121">
        <v>318</v>
      </c>
      <c r="J8" s="121">
        <v>226</v>
      </c>
      <c r="K8" s="121">
        <v>372</v>
      </c>
      <c r="L8" s="121">
        <v>227</v>
      </c>
      <c r="M8" s="121">
        <v>209</v>
      </c>
      <c r="N8" s="121">
        <v>278</v>
      </c>
      <c r="O8" s="121">
        <v>148</v>
      </c>
      <c r="P8" s="121">
        <v>115</v>
      </c>
      <c r="Q8" s="121">
        <v>111</v>
      </c>
      <c r="R8" s="121">
        <v>113</v>
      </c>
      <c r="S8" s="121">
        <v>61</v>
      </c>
      <c r="T8" s="121">
        <v>139</v>
      </c>
      <c r="U8" s="121">
        <v>179</v>
      </c>
      <c r="V8" s="121">
        <v>119</v>
      </c>
      <c r="W8" s="121">
        <v>80</v>
      </c>
      <c r="X8" s="121">
        <v>69</v>
      </c>
      <c r="Y8" s="121">
        <v>50</v>
      </c>
      <c r="Z8" s="122">
        <v>98</v>
      </c>
      <c r="AA8" s="121">
        <f t="shared" si="0"/>
        <v>96</v>
      </c>
      <c r="AB8" s="121">
        <f t="shared" si="1"/>
        <v>-17.647058823529417</v>
      </c>
      <c r="AD8" s="121">
        <v>492</v>
      </c>
      <c r="AE8" s="122">
        <v>318</v>
      </c>
      <c r="AF8" s="121">
        <f t="shared" si="2"/>
        <v>-35.36585365853659</v>
      </c>
    </row>
    <row r="9" spans="2:32" ht="14.25">
      <c r="B9" s="102" t="s">
        <v>67</v>
      </c>
      <c r="C9" s="20"/>
      <c r="D9" s="121">
        <v>21</v>
      </c>
      <c r="E9" s="121">
        <v>16</v>
      </c>
      <c r="F9" s="121">
        <v>10</v>
      </c>
      <c r="G9" s="121">
        <v>20</v>
      </c>
      <c r="H9" s="121">
        <v>19</v>
      </c>
      <c r="J9" s="121">
        <v>3</v>
      </c>
      <c r="K9" s="121">
        <v>4</v>
      </c>
      <c r="L9" s="121">
        <v>6</v>
      </c>
      <c r="M9" s="121">
        <v>3</v>
      </c>
      <c r="N9" s="121">
        <v>3</v>
      </c>
      <c r="O9" s="121">
        <v>2</v>
      </c>
      <c r="P9" s="121">
        <v>2</v>
      </c>
      <c r="Q9" s="121">
        <v>3</v>
      </c>
      <c r="R9" s="121">
        <v>3</v>
      </c>
      <c r="S9" s="121">
        <v>5</v>
      </c>
      <c r="T9" s="121">
        <v>7</v>
      </c>
      <c r="U9" s="121">
        <v>5</v>
      </c>
      <c r="V9" s="121">
        <v>5</v>
      </c>
      <c r="W9" s="121">
        <v>8</v>
      </c>
      <c r="X9" s="121">
        <v>5</v>
      </c>
      <c r="Y9" s="121">
        <v>1</v>
      </c>
      <c r="Z9" s="122">
        <v>4</v>
      </c>
      <c r="AA9" s="121" t="str">
        <f t="shared" si="0"/>
        <v>&gt;100</v>
      </c>
      <c r="AB9" s="121">
        <f t="shared" si="1"/>
        <v>-19.999999999999996</v>
      </c>
      <c r="AD9" s="121">
        <v>20</v>
      </c>
      <c r="AE9" s="122">
        <v>19</v>
      </c>
      <c r="AF9" s="121">
        <f t="shared" si="2"/>
        <v>-5.000000000000004</v>
      </c>
    </row>
    <row r="10" spans="2:32" ht="14.25">
      <c r="B10" s="102" t="s">
        <v>9</v>
      </c>
      <c r="C10" s="20"/>
      <c r="D10" s="121">
        <v>1803</v>
      </c>
      <c r="E10" s="121">
        <v>1461</v>
      </c>
      <c r="F10" s="121">
        <v>2173</v>
      </c>
      <c r="G10" s="121">
        <v>2299</v>
      </c>
      <c r="H10" s="121">
        <v>2579</v>
      </c>
      <c r="J10" s="121">
        <v>361</v>
      </c>
      <c r="K10" s="121">
        <v>416</v>
      </c>
      <c r="L10" s="121">
        <v>346</v>
      </c>
      <c r="M10" s="121">
        <v>338</v>
      </c>
      <c r="N10" s="121">
        <v>332</v>
      </c>
      <c r="O10" s="121">
        <v>687</v>
      </c>
      <c r="P10" s="121">
        <v>586</v>
      </c>
      <c r="Q10" s="121">
        <v>568</v>
      </c>
      <c r="R10" s="121">
        <v>591</v>
      </c>
      <c r="S10" s="121">
        <v>590</v>
      </c>
      <c r="T10" s="121">
        <v>612</v>
      </c>
      <c r="U10" s="121">
        <v>506</v>
      </c>
      <c r="V10" s="121">
        <v>668</v>
      </c>
      <c r="W10" s="121">
        <v>579</v>
      </c>
      <c r="X10" s="121">
        <v>685</v>
      </c>
      <c r="Y10" s="121">
        <v>647</v>
      </c>
      <c r="Z10" s="122">
        <v>776</v>
      </c>
      <c r="AA10" s="121">
        <f t="shared" si="0"/>
        <v>19.938176197836178</v>
      </c>
      <c r="AB10" s="121">
        <f t="shared" si="1"/>
        <v>16.167664670658688</v>
      </c>
      <c r="AD10" s="121">
        <v>2299</v>
      </c>
      <c r="AE10" s="122">
        <v>2579</v>
      </c>
      <c r="AF10" s="121">
        <f t="shared" si="2"/>
        <v>12.17920835145716</v>
      </c>
    </row>
    <row r="11" spans="2:32" ht="14.25">
      <c r="B11" s="102" t="s">
        <v>68</v>
      </c>
      <c r="C11" s="20"/>
      <c r="D11" s="121">
        <v>249</v>
      </c>
      <c r="E11" s="121">
        <v>88</v>
      </c>
      <c r="F11" s="121">
        <v>257</v>
      </c>
      <c r="G11" s="121">
        <v>168</v>
      </c>
      <c r="H11" s="121">
        <v>290</v>
      </c>
      <c r="J11" s="121">
        <v>43</v>
      </c>
      <c r="K11" s="121">
        <v>40</v>
      </c>
      <c r="L11" s="121">
        <v>50</v>
      </c>
      <c r="M11" s="121">
        <v>-45</v>
      </c>
      <c r="N11" s="121">
        <v>26</v>
      </c>
      <c r="O11" s="121">
        <v>96</v>
      </c>
      <c r="P11" s="121">
        <v>105</v>
      </c>
      <c r="Q11" s="121">
        <v>30</v>
      </c>
      <c r="R11" s="121">
        <v>61</v>
      </c>
      <c r="S11" s="121">
        <v>68</v>
      </c>
      <c r="T11" s="121">
        <v>54</v>
      </c>
      <c r="U11" s="121">
        <v>-15</v>
      </c>
      <c r="V11" s="121">
        <v>71</v>
      </c>
      <c r="W11" s="121">
        <v>65</v>
      </c>
      <c r="X11" s="121">
        <v>95</v>
      </c>
      <c r="Y11" s="121">
        <v>59</v>
      </c>
      <c r="Z11" s="122">
        <v>83</v>
      </c>
      <c r="AA11" s="121">
        <f t="shared" si="0"/>
        <v>40.67796610169492</v>
      </c>
      <c r="AB11" s="121">
        <f t="shared" si="1"/>
        <v>16.901408450704224</v>
      </c>
      <c r="AD11" s="121">
        <v>168</v>
      </c>
      <c r="AE11" s="122">
        <v>290</v>
      </c>
      <c r="AF11" s="121">
        <f t="shared" si="2"/>
        <v>72.61904761904762</v>
      </c>
    </row>
    <row r="12" spans="2:32" ht="14.25">
      <c r="B12" s="102" t="s">
        <v>53</v>
      </c>
      <c r="C12" s="20"/>
      <c r="D12" s="121">
        <v>1344</v>
      </c>
      <c r="E12" s="121">
        <v>1186</v>
      </c>
      <c r="F12" s="121">
        <v>1688</v>
      </c>
      <c r="G12" s="121">
        <v>1877</v>
      </c>
      <c r="H12" s="121">
        <v>2079</v>
      </c>
      <c r="J12" s="121">
        <v>259</v>
      </c>
      <c r="K12" s="121">
        <v>324</v>
      </c>
      <c r="L12" s="121">
        <v>268</v>
      </c>
      <c r="M12" s="121">
        <v>335</v>
      </c>
      <c r="N12" s="121">
        <v>249</v>
      </c>
      <c r="O12" s="121">
        <v>538</v>
      </c>
      <c r="P12" s="121">
        <v>430</v>
      </c>
      <c r="Q12" s="121">
        <v>471</v>
      </c>
      <c r="R12" s="121">
        <v>442</v>
      </c>
      <c r="S12" s="121">
        <v>459</v>
      </c>
      <c r="T12" s="121">
        <v>506</v>
      </c>
      <c r="U12" s="121">
        <v>470</v>
      </c>
      <c r="V12" s="121">
        <v>547</v>
      </c>
      <c r="W12" s="121">
        <v>462</v>
      </c>
      <c r="X12" s="121">
        <v>535</v>
      </c>
      <c r="Y12" s="121">
        <v>535</v>
      </c>
      <c r="Z12" s="122">
        <v>641</v>
      </c>
      <c r="AA12" s="121">
        <f t="shared" si="0"/>
        <v>19.813084112149525</v>
      </c>
      <c r="AB12" s="121">
        <f t="shared" si="1"/>
        <v>17.18464351005484</v>
      </c>
      <c r="AD12" s="121">
        <v>1877</v>
      </c>
      <c r="AE12" s="122">
        <v>2079</v>
      </c>
      <c r="AF12" s="121">
        <f t="shared" si="2"/>
        <v>10.761854022376127</v>
      </c>
    </row>
    <row r="13" spans="3:31" ht="14.25">
      <c r="C13" s="20"/>
      <c r="D13" s="121"/>
      <c r="H13" s="165"/>
      <c r="Z13" s="477"/>
      <c r="AD13" s="165"/>
      <c r="AE13" s="143"/>
    </row>
    <row r="14" spans="1:32"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478"/>
      <c r="AA14" s="17"/>
      <c r="AB14" s="17"/>
      <c r="AC14" s="32"/>
      <c r="AD14" s="169"/>
      <c r="AE14" s="144"/>
      <c r="AF14" s="17"/>
    </row>
    <row r="15" spans="2:32" ht="14.25">
      <c r="B15" s="101" t="s">
        <v>71</v>
      </c>
      <c r="C15" s="20"/>
      <c r="D15" s="121">
        <v>74377</v>
      </c>
      <c r="E15" s="121">
        <v>75117</v>
      </c>
      <c r="F15" s="121">
        <v>91164</v>
      </c>
      <c r="G15" s="121">
        <v>117160</v>
      </c>
      <c r="H15" s="121">
        <v>137318</v>
      </c>
      <c r="J15" s="121">
        <v>74981</v>
      </c>
      <c r="K15" s="121">
        <v>73610</v>
      </c>
      <c r="L15" s="121">
        <v>74807</v>
      </c>
      <c r="M15" s="121">
        <v>75117</v>
      </c>
      <c r="N15" s="121">
        <v>77723</v>
      </c>
      <c r="O15" s="121">
        <v>84467</v>
      </c>
      <c r="P15" s="121">
        <v>86521</v>
      </c>
      <c r="Q15" s="121">
        <v>91164</v>
      </c>
      <c r="R15" s="121">
        <v>95294</v>
      </c>
      <c r="S15" s="121">
        <v>101450</v>
      </c>
      <c r="T15" s="121">
        <v>110352</v>
      </c>
      <c r="U15" s="121">
        <v>117160</v>
      </c>
      <c r="V15" s="121">
        <v>121757</v>
      </c>
      <c r="W15" s="121">
        <v>129185</v>
      </c>
      <c r="X15" s="121">
        <v>131646</v>
      </c>
      <c r="Y15" s="121">
        <v>137318</v>
      </c>
      <c r="Z15" s="122">
        <v>147084</v>
      </c>
      <c r="AA15" s="121">
        <f>IF(AND(Z15=0,Y15=0),0,IF(OR(AND(Z15&gt;0,Y15&lt;=0),AND(Z15&lt;0,Y15&gt;=0)),"nm",IF(AND(Z15&lt;0,Y15&lt;0),IF(-(Z15/Y15-1)*100&lt;-100,"(&gt;100)",-(Z15/Y15-1)*100),IF((Z15/Y15-1)*100&gt;100,"&gt;100",(Z15/Y15-1)*100))))</f>
        <v>7.111959102229859</v>
      </c>
      <c r="AB15" s="121">
        <f>IF(AND(Z15=0,V15=0),0,IF(OR(AND(Z15&gt;0,V15&lt;=0),AND(Z15&lt;0,V15&gt;=0)),"nm",IF(AND(Z15&lt;0,V15&lt;0),IF(-(Z15/V15-1)*100&lt;-100,"(&gt;100)",-(Z15/V15-1)*100),IF((Z15/V15-1)*100&gt;100,"&gt;100",(Z15/V15-1)*100))))</f>
        <v>20.80126809957539</v>
      </c>
      <c r="AD15" s="121">
        <v>117160</v>
      </c>
      <c r="AE15" s="122">
        <v>137318</v>
      </c>
      <c r="AF15" s="121">
        <f>IF(AND(AE15=0,AD15=0),0,IF(OR(AND(AE15&gt;0,AD15&lt;=0),AND(AE15&lt;0,AD15&gt;=0)),"nm",IF(AND(AE15&lt;0,AD15&lt;0),IF(-(AE15/AD15-1)*100&lt;-100,"(&gt;100)",-(AE15/AD15-1)*100),IF((AE15/AD15-1)*100&gt;100,"&gt;100",(AE15/AD15-1)*100))))</f>
        <v>17.205530897917388</v>
      </c>
    </row>
    <row r="16" spans="2:32" ht="14.25">
      <c r="B16" s="101" t="s">
        <v>72</v>
      </c>
      <c r="C16" s="20"/>
      <c r="D16" s="121">
        <v>170132</v>
      </c>
      <c r="E16" s="121">
        <v>165652</v>
      </c>
      <c r="F16" s="121">
        <v>179813</v>
      </c>
      <c r="G16" s="121">
        <v>207370</v>
      </c>
      <c r="H16" s="121">
        <v>225678</v>
      </c>
      <c r="J16" s="121">
        <v>180978</v>
      </c>
      <c r="K16" s="121">
        <v>169570</v>
      </c>
      <c r="L16" s="121">
        <v>165741</v>
      </c>
      <c r="M16" s="121">
        <v>165652</v>
      </c>
      <c r="N16" s="121">
        <v>163380</v>
      </c>
      <c r="O16" s="121">
        <v>172591</v>
      </c>
      <c r="P16" s="121">
        <v>176623</v>
      </c>
      <c r="Q16" s="121">
        <v>179813</v>
      </c>
      <c r="R16" s="121">
        <v>184024</v>
      </c>
      <c r="S16" s="121">
        <v>196201</v>
      </c>
      <c r="T16" s="121">
        <v>206550</v>
      </c>
      <c r="U16" s="121">
        <v>212002</v>
      </c>
      <c r="V16" s="121">
        <v>221871</v>
      </c>
      <c r="W16" s="121">
        <v>224531</v>
      </c>
      <c r="X16" s="121">
        <v>236463</v>
      </c>
      <c r="Y16" s="121">
        <v>225678</v>
      </c>
      <c r="Z16" s="122">
        <v>239379</v>
      </c>
      <c r="AA16" s="121">
        <f>IF(AND(Z16=0,Y16=0),0,IF(OR(AND(Z16&gt;0,Y16&lt;=0),AND(Z16&lt;0,Y16&gt;=0)),"nm",IF(AND(Z16&lt;0,Y16&lt;0),IF(-(Z16/Y16-1)*100&lt;-100,"(&gt;100)",-(Z16/Y16-1)*100),IF((Z16/Y16-1)*100&gt;100,"&gt;100",(Z16/Y16-1)*100))))</f>
        <v>6.071039268338074</v>
      </c>
      <c r="AB16" s="121">
        <f>IF(AND(Z16=0,V16=0),0,IF(OR(AND(Z16&gt;0,V16&lt;=0),AND(Z16&lt;0,V16&gt;=0)),"nm",IF(AND(Z16&lt;0,V16&lt;0),IF(-(Z16/V16-1)*100&lt;-100,"(&gt;100)",-(Z16/V16-1)*100),IF((Z16/V16-1)*100&gt;100,"&gt;100",(Z16/V16-1)*100))))</f>
        <v>7.891071839041608</v>
      </c>
      <c r="AD16" s="121">
        <v>212002</v>
      </c>
      <c r="AE16" s="122">
        <f>Z16</f>
        <v>239379</v>
      </c>
      <c r="AF16" s="121">
        <f>IF(AND(AE16=0,AD16=0),0,IF(OR(AND(AE16&gt;0,AD16&lt;=0),AND(AE16&lt;0,AD16&gt;=0)),"nm",IF(AND(AE16&lt;0,AD16&lt;0),IF(-(AE16/AD16-1)*100&lt;-100,"(&gt;100)",-(AE16/AD16-1)*100),IF((AE16/AD16-1)*100&gt;100,"&gt;100",(AE16/AD16-1)*100))))</f>
        <v>12.913557419269628</v>
      </c>
    </row>
    <row r="17" spans="2:32" ht="14.25">
      <c r="B17" s="101" t="s">
        <v>10</v>
      </c>
      <c r="C17" s="20"/>
      <c r="D17" s="121">
        <v>175979</v>
      </c>
      <c r="E17" s="121">
        <f>M17</f>
        <v>171499</v>
      </c>
      <c r="F17" s="121">
        <f>AE17</f>
        <v>244181</v>
      </c>
      <c r="G17" s="121">
        <v>212172</v>
      </c>
      <c r="H17" s="121">
        <v>230480</v>
      </c>
      <c r="J17" s="121">
        <v>186825</v>
      </c>
      <c r="K17" s="121">
        <v>175417</v>
      </c>
      <c r="L17" s="121">
        <v>171588</v>
      </c>
      <c r="M17" s="121">
        <v>171499</v>
      </c>
      <c r="N17" s="121">
        <v>169200</v>
      </c>
      <c r="O17" s="121">
        <v>177393</v>
      </c>
      <c r="P17" s="121">
        <v>181425</v>
      </c>
      <c r="Q17" s="121">
        <v>184615</v>
      </c>
      <c r="R17" s="121">
        <v>188826</v>
      </c>
      <c r="S17" s="121">
        <v>201003</v>
      </c>
      <c r="T17" s="121">
        <v>211352</v>
      </c>
      <c r="U17" s="121">
        <v>216804</v>
      </c>
      <c r="V17" s="121">
        <v>226673</v>
      </c>
      <c r="W17" s="121">
        <v>229333</v>
      </c>
      <c r="X17" s="121">
        <v>241265</v>
      </c>
      <c r="Y17" s="121">
        <v>230480</v>
      </c>
      <c r="Z17" s="122">
        <v>244181</v>
      </c>
      <c r="AA17" s="121">
        <f>IF(AND(Z17=0,Y17=0),0,IF(OR(AND(Z17&gt;0,Y17&lt;=0),AND(Z17&lt;0,Y17&gt;=0)),"nm",IF(AND(Z17&lt;0,Y17&lt;0),IF(-(Z17/Y17-1)*100&lt;-100,"(&gt;100)",-(Z17/Y17-1)*100),IF((Z17/Y17-1)*100&gt;100,"&gt;100",(Z17/Y17-1)*100))))</f>
        <v>5.944550503297474</v>
      </c>
      <c r="AB17" s="121">
        <f>IF(AND(Z17=0,V17=0),0,IF(OR(AND(Z17&gt;0,V17&lt;=0),AND(Z17&lt;0,V17&gt;=0)),"nm",IF(AND(Z17&lt;0,V17&lt;0),IF(-(Z17/V17-1)*100&lt;-100,"(&gt;100)",-(Z17/V17-1)*100),IF((Z17/V17-1)*100&gt;100,"&gt;100",(Z17/V17-1)*100))))</f>
        <v>7.7239018321547</v>
      </c>
      <c r="AD17" s="121">
        <v>216804</v>
      </c>
      <c r="AE17" s="122">
        <f>Z17</f>
        <v>244181</v>
      </c>
      <c r="AF17" s="121">
        <f>IF(AND(AE17=0,AD17=0),0,IF(OR(AND(AE17&gt;0,AD17&lt;=0),AND(AE17&lt;0,AD17&gt;=0)),"nm",IF(AND(AE17&lt;0,AD17&lt;0),IF(-(AE17/AD17-1)*100&lt;-100,"(&gt;100)",-(AE17/AD17-1)*100),IF((AE17/AD17-1)*100&gt;100,"&gt;100",(AE17/AD17-1)*100))))</f>
        <v>12.627534547333074</v>
      </c>
    </row>
    <row r="18" spans="26:31" ht="14.25">
      <c r="Z18" s="364"/>
      <c r="AE18" s="364"/>
    </row>
    <row r="19" spans="26:31" ht="14.25">
      <c r="Z19" s="364"/>
      <c r="AE19" s="364"/>
    </row>
    <row r="20" spans="26:31" ht="14.25">
      <c r="Z20" s="364"/>
      <c r="AE20" s="364"/>
    </row>
    <row r="21" spans="26:31" ht="14.25">
      <c r="Z21" s="364"/>
      <c r="AE21" s="364"/>
    </row>
    <row r="22" spans="26:31" ht="14.25">
      <c r="Z22" s="364"/>
      <c r="AE22" s="364"/>
    </row>
    <row r="23" spans="26:31" ht="14.25">
      <c r="Z23" s="364"/>
      <c r="AE23" s="364"/>
    </row>
    <row r="24" ht="14.25">
      <c r="Z24" s="364"/>
    </row>
    <row r="25" ht="14.25">
      <c r="Z25" s="364"/>
    </row>
    <row r="26" ht="14.25">
      <c r="Z26" s="364"/>
    </row>
    <row r="27" ht="14.25">
      <c r="Z27" s="364"/>
    </row>
    <row r="28" ht="14.25">
      <c r="Z28" s="364"/>
    </row>
    <row r="29" ht="14.25">
      <c r="Z29" s="364"/>
    </row>
    <row r="30" ht="14.25">
      <c r="Z30" s="364"/>
    </row>
  </sheetData>
  <sheetProtection/>
  <mergeCells count="1">
    <mergeCell ref="A2:C2"/>
  </mergeCells>
  <hyperlinks>
    <hyperlink ref="A2" location="Index!A1" display="Back to Index"/>
  </hyperlinks>
  <printOptions/>
  <pageMargins left="0.25" right="0.25" top="1" bottom="1" header="0.5" footer="0.5"/>
  <pageSetup fitToHeight="1" fitToWidth="1" horizontalDpi="600" verticalDpi="600" orientation="portrait" paperSize="9" scale="94" r:id="rId1"/>
  <headerFooter alignWithMargins="0">
    <oddFooter>&amp;L&amp;8&amp;Z&amp;F&amp;A&amp;R&amp;8&amp;D&amp;T</oddFooter>
  </headerFooter>
</worksheet>
</file>

<file path=xl/worksheets/sheet21.xml><?xml version="1.0" encoding="utf-8"?>
<worksheet xmlns="http://schemas.openxmlformats.org/spreadsheetml/2006/main" xmlns:r="http://schemas.openxmlformats.org/officeDocument/2006/relationships">
  <sheetPr>
    <tabColor indexed="18"/>
    <pageSetUpPr fitToPage="1"/>
  </sheetPr>
  <dimension ref="A1:AF26"/>
  <sheetViews>
    <sheetView zoomScale="80" zoomScaleNormal="80" zoomScalePageLayoutView="0" workbookViewId="0" topLeftCell="A1">
      <pane xSplit="3" ySplit="2" topLeftCell="N3" activePane="bottomRight" state="frozen"/>
      <selection pane="topLeft" activeCell="AA19" sqref="AA19"/>
      <selection pane="topRight" activeCell="AA19" sqref="AA19"/>
      <selection pane="bottomLeft" activeCell="AA19" sqref="AA19"/>
      <selection pane="bottomRight" activeCell="Z12" sqref="Z12"/>
    </sheetView>
  </sheetViews>
  <sheetFormatPr defaultColWidth="9.140625" defaultRowHeight="12.75" outlineLevelCol="1"/>
  <cols>
    <col min="1" max="1" width="4.00390625" style="20" customWidth="1"/>
    <col min="2" max="2" width="4.28125" style="20" customWidth="1"/>
    <col min="3" max="3" width="32.14062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2" bestFit="1" customWidth="1"/>
    <col min="27" max="27" width="8.00390625" style="121" bestFit="1" customWidth="1"/>
    <col min="28" max="28" width="7.8515625" style="121" bestFit="1" customWidth="1"/>
    <col min="29" max="29" width="5.00390625" style="121" customWidth="1"/>
    <col min="30" max="30" width="8.57421875" style="121" hidden="1" customWidth="1"/>
    <col min="31" max="31" width="8.57421875" style="122" hidden="1" customWidth="1"/>
    <col min="32" max="32" width="8.00390625" style="121" hidden="1" customWidth="1"/>
    <col min="33" max="16384" width="9.140625" style="20" customWidth="1"/>
  </cols>
  <sheetData>
    <row r="1" spans="1:32" s="42" customFormat="1" ht="20.25">
      <c r="A1" s="41" t="s">
        <v>49</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25"/>
      <c r="AA3" s="17"/>
      <c r="AB3" s="17"/>
      <c r="AC3" s="32"/>
      <c r="AD3" s="17"/>
      <c r="AE3" s="125"/>
      <c r="AF3" s="17"/>
    </row>
    <row r="4" spans="2:32" ht="14.25">
      <c r="B4" s="101" t="s">
        <v>5</v>
      </c>
      <c r="C4" s="20"/>
      <c r="D4" s="121">
        <v>873</v>
      </c>
      <c r="E4" s="121">
        <v>888</v>
      </c>
      <c r="F4" s="121">
        <v>783</v>
      </c>
      <c r="G4" s="121">
        <v>789</v>
      </c>
      <c r="H4" s="121">
        <v>886</v>
      </c>
      <c r="J4" s="121">
        <v>224</v>
      </c>
      <c r="K4" s="121">
        <v>222</v>
      </c>
      <c r="L4" s="121">
        <v>226</v>
      </c>
      <c r="M4" s="121">
        <v>216</v>
      </c>
      <c r="N4" s="121">
        <v>202</v>
      </c>
      <c r="O4" s="121">
        <v>198</v>
      </c>
      <c r="P4" s="121">
        <v>191</v>
      </c>
      <c r="Q4" s="121">
        <v>192</v>
      </c>
      <c r="R4" s="121">
        <v>190</v>
      </c>
      <c r="S4" s="121">
        <v>199</v>
      </c>
      <c r="T4" s="121">
        <v>189</v>
      </c>
      <c r="U4" s="121">
        <v>211</v>
      </c>
      <c r="V4" s="121">
        <v>209</v>
      </c>
      <c r="W4" s="121">
        <v>228</v>
      </c>
      <c r="X4" s="121">
        <v>228</v>
      </c>
      <c r="Y4" s="121">
        <v>221</v>
      </c>
      <c r="Z4" s="122">
        <v>231</v>
      </c>
      <c r="AA4" s="121">
        <f aca="true" t="shared" si="0" ref="AA4:AA12">IF(AND(Z4=0,Y4=0),0,IF(OR(AND(Z4&gt;0,Y4&lt;=0),AND(Z4&lt;0,Y4&gt;=0)),"nm",IF(AND(Z4&lt;0,Y4&lt;0),IF(-(Z4/Y4-1)*100&lt;-100,"(&gt;100)",-(Z4/Y4-1)*100),IF((Z4/Y4-1)*100&gt;100,"&gt;100",(Z4/Y4-1)*100))))</f>
        <v>4.52488687782806</v>
      </c>
      <c r="AB4" s="121">
        <f aca="true" t="shared" si="1" ref="AB4:AB12">IF(AND(Z4=0,V4=0),0,IF(OR(AND(Z4&gt;0,V4&lt;=0),AND(Z4&lt;0,V4&gt;=0)),"nm",IF(AND(Z4&lt;0,V4&lt;0),IF(-(Z4/V4-1)*100&lt;-100,"(&gt;100)",-(Z4/V4-1)*100),IF((Z4/V4-1)*100&gt;100,"&gt;100",(Z4/V4-1)*100))))</f>
        <v>10.526315789473696</v>
      </c>
      <c r="AD4" s="121">
        <v>789</v>
      </c>
      <c r="AE4" s="122">
        <v>886</v>
      </c>
      <c r="AF4" s="121">
        <f aca="true" t="shared" si="2" ref="AF4:AF12">IF(AND(AE4=0,AD4=0),0,IF(OR(AND(AE4&gt;0,AD4&lt;=0),AND(AE4&lt;0,AD4&gt;=0)),"nm",IF(AND(AE4&lt;0,AD4&lt;0),IF(-(AE4/AD4-1)*100&lt;-100,"(&gt;100)",-(AE4/AD4-1)*100),IF((AE4/AD4-1)*100&gt;100,"&gt;100",(AE4/AD4-1)*100))))</f>
        <v>12.294043092522177</v>
      </c>
    </row>
    <row r="5" spans="2:32" ht="14.25">
      <c r="B5" s="101" t="s">
        <v>25</v>
      </c>
      <c r="C5" s="20"/>
      <c r="D5" s="121">
        <v>538</v>
      </c>
      <c r="E5" s="121">
        <v>478</v>
      </c>
      <c r="F5" s="121">
        <v>682</v>
      </c>
      <c r="G5" s="121">
        <v>664</v>
      </c>
      <c r="H5" s="121">
        <v>646</v>
      </c>
      <c r="J5" s="121">
        <v>127</v>
      </c>
      <c r="K5" s="121">
        <v>120</v>
      </c>
      <c r="L5" s="121">
        <v>105</v>
      </c>
      <c r="M5" s="121">
        <v>126</v>
      </c>
      <c r="N5" s="121">
        <v>165</v>
      </c>
      <c r="O5" s="121">
        <v>165</v>
      </c>
      <c r="P5" s="121">
        <v>195</v>
      </c>
      <c r="Q5" s="121">
        <v>157</v>
      </c>
      <c r="R5" s="121">
        <v>200</v>
      </c>
      <c r="S5" s="121">
        <v>177</v>
      </c>
      <c r="T5" s="121">
        <v>136</v>
      </c>
      <c r="U5" s="121">
        <v>151</v>
      </c>
      <c r="V5" s="121">
        <v>176</v>
      </c>
      <c r="W5" s="121">
        <v>151</v>
      </c>
      <c r="X5" s="121">
        <v>145</v>
      </c>
      <c r="Y5" s="121">
        <v>174</v>
      </c>
      <c r="Z5" s="122">
        <v>243</v>
      </c>
      <c r="AA5" s="121">
        <f t="shared" si="0"/>
        <v>39.6551724137931</v>
      </c>
      <c r="AB5" s="121">
        <f t="shared" si="1"/>
        <v>38.06818181818181</v>
      </c>
      <c r="AD5" s="121">
        <v>664</v>
      </c>
      <c r="AE5" s="122">
        <v>646</v>
      </c>
      <c r="AF5" s="121">
        <f t="shared" si="2"/>
        <v>-2.7108433734939763</v>
      </c>
    </row>
    <row r="6" spans="2:32" ht="14.25">
      <c r="B6" s="101" t="s">
        <v>6</v>
      </c>
      <c r="C6" s="20"/>
      <c r="D6" s="121">
        <v>1411</v>
      </c>
      <c r="E6" s="121">
        <v>1366</v>
      </c>
      <c r="F6" s="121">
        <v>1465</v>
      </c>
      <c r="G6" s="121">
        <v>1453</v>
      </c>
      <c r="H6" s="121">
        <v>1532</v>
      </c>
      <c r="J6" s="121">
        <v>351</v>
      </c>
      <c r="K6" s="121">
        <v>342</v>
      </c>
      <c r="L6" s="121">
        <v>331</v>
      </c>
      <c r="M6" s="121">
        <v>342</v>
      </c>
      <c r="N6" s="121">
        <v>367</v>
      </c>
      <c r="O6" s="121">
        <v>363</v>
      </c>
      <c r="P6" s="121">
        <v>386</v>
      </c>
      <c r="Q6" s="121">
        <v>349</v>
      </c>
      <c r="R6" s="121">
        <v>390</v>
      </c>
      <c r="S6" s="121">
        <v>376</v>
      </c>
      <c r="T6" s="121">
        <v>325</v>
      </c>
      <c r="U6" s="121">
        <v>362</v>
      </c>
      <c r="V6" s="121">
        <v>385</v>
      </c>
      <c r="W6" s="121">
        <v>379</v>
      </c>
      <c r="X6" s="121">
        <v>373</v>
      </c>
      <c r="Y6" s="121">
        <v>395</v>
      </c>
      <c r="Z6" s="122">
        <f>SUM(Z4:Z5)</f>
        <v>474</v>
      </c>
      <c r="AA6" s="121">
        <f t="shared" si="0"/>
        <v>19.999999999999996</v>
      </c>
      <c r="AB6" s="121">
        <f t="shared" si="1"/>
        <v>23.116883116883113</v>
      </c>
      <c r="AD6" s="121">
        <v>1453</v>
      </c>
      <c r="AE6" s="122">
        <v>1532</v>
      </c>
      <c r="AF6" s="121">
        <f t="shared" si="2"/>
        <v>5.4370268410185885</v>
      </c>
    </row>
    <row r="7" spans="2:32" ht="14.25">
      <c r="B7" s="101" t="s">
        <v>0</v>
      </c>
      <c r="C7" s="20"/>
      <c r="D7" s="121">
        <v>723</v>
      </c>
      <c r="E7" s="121">
        <v>600</v>
      </c>
      <c r="F7" s="121">
        <v>720</v>
      </c>
      <c r="G7" s="121">
        <v>646</v>
      </c>
      <c r="H7" s="121">
        <v>678</v>
      </c>
      <c r="J7" s="121">
        <v>150</v>
      </c>
      <c r="K7" s="121">
        <v>151</v>
      </c>
      <c r="L7" s="121">
        <v>145</v>
      </c>
      <c r="M7" s="121">
        <v>154</v>
      </c>
      <c r="N7" s="121">
        <v>147</v>
      </c>
      <c r="O7" s="121">
        <v>249</v>
      </c>
      <c r="P7" s="121">
        <v>147</v>
      </c>
      <c r="Q7" s="121">
        <v>177</v>
      </c>
      <c r="R7" s="121">
        <v>155</v>
      </c>
      <c r="S7" s="121">
        <v>154</v>
      </c>
      <c r="T7" s="121">
        <v>153</v>
      </c>
      <c r="U7" s="121">
        <v>184</v>
      </c>
      <c r="V7" s="121">
        <v>155</v>
      </c>
      <c r="W7" s="121">
        <v>168</v>
      </c>
      <c r="X7" s="121">
        <v>168</v>
      </c>
      <c r="Y7" s="121">
        <v>187</v>
      </c>
      <c r="Z7" s="122">
        <v>168</v>
      </c>
      <c r="AA7" s="121">
        <f t="shared" si="0"/>
        <v>-10.160427807486627</v>
      </c>
      <c r="AB7" s="121">
        <f t="shared" si="1"/>
        <v>8.387096774193559</v>
      </c>
      <c r="AD7" s="121">
        <v>646</v>
      </c>
      <c r="AE7" s="122">
        <v>678</v>
      </c>
      <c r="AF7" s="121">
        <f t="shared" si="2"/>
        <v>4.9535603715170184</v>
      </c>
    </row>
    <row r="8" spans="2:32" ht="14.25">
      <c r="B8" s="101" t="s">
        <v>8</v>
      </c>
      <c r="C8" s="20"/>
      <c r="D8" s="121">
        <v>233</v>
      </c>
      <c r="E8" s="121">
        <v>210</v>
      </c>
      <c r="F8" s="121">
        <v>73</v>
      </c>
      <c r="G8" s="121">
        <v>130</v>
      </c>
      <c r="H8" s="121">
        <v>11</v>
      </c>
      <c r="J8" s="121">
        <v>88</v>
      </c>
      <c r="K8" s="121">
        <v>71</v>
      </c>
      <c r="L8" s="121">
        <v>14</v>
      </c>
      <c r="M8" s="121">
        <v>37</v>
      </c>
      <c r="N8" s="121">
        <v>7</v>
      </c>
      <c r="O8" s="121">
        <v>32</v>
      </c>
      <c r="P8" s="121">
        <v>18</v>
      </c>
      <c r="Q8" s="121">
        <v>16</v>
      </c>
      <c r="R8" s="121">
        <v>9</v>
      </c>
      <c r="S8" s="121">
        <v>54</v>
      </c>
      <c r="T8" s="121">
        <v>43</v>
      </c>
      <c r="U8" s="121">
        <v>24</v>
      </c>
      <c r="V8" s="121">
        <v>2</v>
      </c>
      <c r="W8" s="121">
        <v>4</v>
      </c>
      <c r="X8" s="121">
        <v>-20</v>
      </c>
      <c r="Y8" s="121">
        <v>25</v>
      </c>
      <c r="Z8" s="122">
        <v>41</v>
      </c>
      <c r="AA8" s="121">
        <f t="shared" si="0"/>
        <v>63.99999999999999</v>
      </c>
      <c r="AB8" s="121" t="str">
        <f t="shared" si="1"/>
        <v>&gt;100</v>
      </c>
      <c r="AD8" s="121">
        <v>130</v>
      </c>
      <c r="AE8" s="122">
        <v>11</v>
      </c>
      <c r="AF8" s="121">
        <f>IF(AND(AE8=0,AD8=0),0,IF(OR(AND(AE8&gt;0,AD8&lt;=0),AND(AE8&lt;0,AD8&gt;=0)),"nm",IF(AND(AE8&lt;0,AD8&lt;0),IF(-(AE8/AD8-1)*100&lt;-100,"(&gt;100)",-(AE8/AD8-1)*100),IF((AE8/AD8-1)*100&gt;100,"&gt;100",(AE8/AD8-1)*100))))</f>
        <v>-91.53846153846153</v>
      </c>
    </row>
    <row r="9" spans="2:32" ht="14.25">
      <c r="B9" s="102" t="s">
        <v>67</v>
      </c>
      <c r="C9" s="20"/>
      <c r="D9" s="121">
        <v>0</v>
      </c>
      <c r="E9" s="121">
        <v>0</v>
      </c>
      <c r="F9" s="121">
        <v>0</v>
      </c>
      <c r="G9" s="121">
        <v>0</v>
      </c>
      <c r="H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2">
        <f>AE9-R9-S9-T9</f>
        <v>0</v>
      </c>
      <c r="AA9" s="121">
        <f t="shared" si="0"/>
        <v>0</v>
      </c>
      <c r="AB9" s="121">
        <f t="shared" si="1"/>
        <v>0</v>
      </c>
      <c r="AD9" s="121">
        <v>0</v>
      </c>
      <c r="AE9" s="122">
        <v>0</v>
      </c>
      <c r="AF9" s="121">
        <f t="shared" si="2"/>
        <v>0</v>
      </c>
    </row>
    <row r="10" spans="2:32" ht="14.25">
      <c r="B10" s="102" t="s">
        <v>9</v>
      </c>
      <c r="C10" s="20"/>
      <c r="D10" s="121">
        <v>455</v>
      </c>
      <c r="E10" s="121">
        <v>556</v>
      </c>
      <c r="F10" s="121">
        <v>672</v>
      </c>
      <c r="G10" s="121">
        <v>677</v>
      </c>
      <c r="H10" s="121">
        <v>843</v>
      </c>
      <c r="J10" s="121">
        <v>113</v>
      </c>
      <c r="K10" s="121">
        <v>120</v>
      </c>
      <c r="L10" s="121">
        <v>172</v>
      </c>
      <c r="M10" s="121">
        <v>151</v>
      </c>
      <c r="N10" s="121">
        <v>213</v>
      </c>
      <c r="O10" s="121">
        <v>82</v>
      </c>
      <c r="P10" s="121">
        <v>221</v>
      </c>
      <c r="Q10" s="121">
        <v>156</v>
      </c>
      <c r="R10" s="121">
        <v>226</v>
      </c>
      <c r="S10" s="121">
        <v>168</v>
      </c>
      <c r="T10" s="121">
        <v>129</v>
      </c>
      <c r="U10" s="121">
        <v>154</v>
      </c>
      <c r="V10" s="121">
        <v>228</v>
      </c>
      <c r="W10" s="121">
        <v>207</v>
      </c>
      <c r="X10" s="121">
        <v>225</v>
      </c>
      <c r="Y10" s="121">
        <v>183</v>
      </c>
      <c r="Z10" s="122">
        <v>265</v>
      </c>
      <c r="AA10" s="121">
        <f t="shared" si="0"/>
        <v>44.80874316939891</v>
      </c>
      <c r="AB10" s="121">
        <f t="shared" si="1"/>
        <v>16.228070175438592</v>
      </c>
      <c r="AD10" s="121">
        <v>677</v>
      </c>
      <c r="AE10" s="122">
        <v>843</v>
      </c>
      <c r="AF10" s="121">
        <f>IF(AND(AE10=0,AD10=0),0,IF(OR(AND(AE10&gt;0,AD10&lt;=0),AND(AE10&lt;0,AD10&gt;=0)),"nm",IF(AND(AE10&lt;0,AD10&lt;0),IF(-(AE10/AD10-1)*100&lt;-100,"(&gt;100)",-(AE10/AD10-1)*100),IF((AE10/AD10-1)*100&gt;100,"&gt;100",(AE10/AD10-1)*100))))</f>
        <v>24.519940915805027</v>
      </c>
    </row>
    <row r="11" spans="2:32" ht="14.25">
      <c r="B11" s="102" t="s">
        <v>68</v>
      </c>
      <c r="C11" s="20"/>
      <c r="D11" s="121">
        <v>65</v>
      </c>
      <c r="E11" s="121">
        <v>92</v>
      </c>
      <c r="F11" s="121">
        <v>93</v>
      </c>
      <c r="G11" s="121">
        <v>106</v>
      </c>
      <c r="H11" s="121">
        <v>127</v>
      </c>
      <c r="J11" s="121">
        <v>19</v>
      </c>
      <c r="K11" s="121">
        <v>21</v>
      </c>
      <c r="L11" s="121">
        <v>29</v>
      </c>
      <c r="M11" s="121">
        <v>23</v>
      </c>
      <c r="N11" s="121">
        <v>33</v>
      </c>
      <c r="O11" s="121">
        <v>17</v>
      </c>
      <c r="P11" s="121">
        <v>31</v>
      </c>
      <c r="Q11" s="121">
        <v>12</v>
      </c>
      <c r="R11" s="121">
        <v>36</v>
      </c>
      <c r="S11" s="121">
        <v>25</v>
      </c>
      <c r="T11" s="121">
        <v>21</v>
      </c>
      <c r="U11" s="121">
        <v>24</v>
      </c>
      <c r="V11" s="121">
        <v>38</v>
      </c>
      <c r="W11" s="121">
        <v>30</v>
      </c>
      <c r="X11" s="121">
        <v>38</v>
      </c>
      <c r="Y11" s="121">
        <v>21</v>
      </c>
      <c r="Z11" s="122">
        <v>43</v>
      </c>
      <c r="AA11" s="121" t="str">
        <f t="shared" si="0"/>
        <v>&gt;100</v>
      </c>
      <c r="AB11" s="121">
        <f t="shared" si="1"/>
        <v>13.157894736842103</v>
      </c>
      <c r="AD11" s="121">
        <v>106</v>
      </c>
      <c r="AE11" s="122">
        <v>127</v>
      </c>
      <c r="AF11" s="121">
        <f t="shared" si="2"/>
        <v>19.811320754716988</v>
      </c>
    </row>
    <row r="12" spans="2:32" ht="14.25">
      <c r="B12" s="102" t="s">
        <v>53</v>
      </c>
      <c r="C12" s="20"/>
      <c r="D12" s="121">
        <v>390</v>
      </c>
      <c r="E12" s="121">
        <v>464</v>
      </c>
      <c r="F12" s="121">
        <v>579</v>
      </c>
      <c r="G12" s="121">
        <v>571</v>
      </c>
      <c r="H12" s="121">
        <v>716</v>
      </c>
      <c r="J12" s="121">
        <v>94</v>
      </c>
      <c r="K12" s="121">
        <v>99</v>
      </c>
      <c r="L12" s="121">
        <v>143</v>
      </c>
      <c r="M12" s="121">
        <v>128</v>
      </c>
      <c r="N12" s="121">
        <v>180</v>
      </c>
      <c r="O12" s="121">
        <v>65</v>
      </c>
      <c r="P12" s="121">
        <v>190</v>
      </c>
      <c r="Q12" s="121">
        <v>144</v>
      </c>
      <c r="R12" s="121">
        <v>190</v>
      </c>
      <c r="S12" s="121">
        <v>143</v>
      </c>
      <c r="T12" s="121">
        <v>108</v>
      </c>
      <c r="U12" s="121">
        <v>130</v>
      </c>
      <c r="V12" s="121">
        <v>190</v>
      </c>
      <c r="W12" s="121">
        <v>177</v>
      </c>
      <c r="X12" s="121">
        <v>187</v>
      </c>
      <c r="Y12" s="121">
        <v>162</v>
      </c>
      <c r="Z12" s="122">
        <v>222</v>
      </c>
      <c r="AA12" s="121">
        <f t="shared" si="0"/>
        <v>37.037037037037045</v>
      </c>
      <c r="AB12" s="121">
        <f t="shared" si="1"/>
        <v>16.842105263157904</v>
      </c>
      <c r="AD12" s="121">
        <v>571</v>
      </c>
      <c r="AE12" s="122">
        <v>716</v>
      </c>
      <c r="AF12" s="121">
        <f t="shared" si="2"/>
        <v>25.39404553415061</v>
      </c>
    </row>
    <row r="13" spans="3:31" ht="14.25">
      <c r="C13" s="20"/>
      <c r="D13" s="121"/>
      <c r="H13" s="165"/>
      <c r="Z13" s="477"/>
      <c r="AE13" s="143"/>
    </row>
    <row r="14" spans="1:32" s="24" customFormat="1" ht="14.25" customHeight="1">
      <c r="A14" s="88" t="s">
        <v>108</v>
      </c>
      <c r="B14" s="31"/>
      <c r="D14" s="17"/>
      <c r="E14" s="17"/>
      <c r="F14" s="17"/>
      <c r="G14" s="17"/>
      <c r="H14" s="17"/>
      <c r="I14" s="17"/>
      <c r="J14" s="17"/>
      <c r="K14" s="17"/>
      <c r="L14" s="17"/>
      <c r="M14" s="17"/>
      <c r="N14" s="17"/>
      <c r="O14" s="17"/>
      <c r="P14" s="17"/>
      <c r="Q14" s="17"/>
      <c r="R14" s="17"/>
      <c r="S14" s="17"/>
      <c r="T14" s="17"/>
      <c r="U14" s="17"/>
      <c r="V14" s="17"/>
      <c r="W14" s="17"/>
      <c r="X14" s="17"/>
      <c r="Y14" s="17"/>
      <c r="Z14" s="125"/>
      <c r="AA14" s="17"/>
      <c r="AB14" s="17"/>
      <c r="AC14" s="32"/>
      <c r="AD14" s="17"/>
      <c r="AE14" s="125"/>
      <c r="AF14" s="17"/>
    </row>
    <row r="15" spans="2:32" ht="14.25">
      <c r="B15" s="101" t="s">
        <v>71</v>
      </c>
      <c r="C15" s="20"/>
      <c r="D15" s="121">
        <v>32085</v>
      </c>
      <c r="E15" s="121">
        <v>33431</v>
      </c>
      <c r="F15" s="121">
        <v>36224</v>
      </c>
      <c r="G15" s="121">
        <v>46848</v>
      </c>
      <c r="H15" s="75">
        <v>41124</v>
      </c>
      <c r="I15" s="75"/>
      <c r="J15" s="75">
        <v>32814</v>
      </c>
      <c r="K15" s="75">
        <v>31951</v>
      </c>
      <c r="L15" s="75">
        <v>31828</v>
      </c>
      <c r="M15" s="75">
        <v>33431</v>
      </c>
      <c r="N15" s="75">
        <v>34008</v>
      </c>
      <c r="O15" s="75">
        <v>38052</v>
      </c>
      <c r="P15" s="75">
        <v>37036</v>
      </c>
      <c r="Q15" s="75">
        <v>36224</v>
      </c>
      <c r="R15" s="75">
        <v>36177</v>
      </c>
      <c r="S15" s="75">
        <v>40095</v>
      </c>
      <c r="T15" s="75">
        <v>45376</v>
      </c>
      <c r="U15" s="75">
        <v>46848</v>
      </c>
      <c r="V15" s="75">
        <v>44888</v>
      </c>
      <c r="W15" s="75">
        <v>44529</v>
      </c>
      <c r="X15" s="75">
        <v>39611</v>
      </c>
      <c r="Y15" s="75">
        <v>41124</v>
      </c>
      <c r="Z15" s="119">
        <v>44322</v>
      </c>
      <c r="AA15" s="75">
        <f>IF(AND(Z15=0,Y15=0),0,IF(OR(AND(Z15&gt;0,Y15&lt;=0),AND(Z15&lt;0,Y15&gt;=0)),"nm",IF(AND(Z15&lt;0,Y15&lt;0),IF(-(Z15/Y15-1)*100&lt;-100,"(&gt;100)",-(Z15/Y15-1)*100),IF((Z15/Y15-1)*100&gt;100,"&gt;100",(Z15/Y15-1)*100))))</f>
        <v>7.776480887073234</v>
      </c>
      <c r="AB15" s="75">
        <f>IF(AND(Z15=0,V15=0),0,IF(OR(AND(Z15&gt;0,V15&lt;=0),AND(Z15&lt;0,V15&gt;=0)),"nm",IF(AND(Z15&lt;0,V15&lt;0),IF(-(Z15/V15-1)*100&lt;-100,"(&gt;100)",-(Z15/V15-1)*100),IF((Z15/V15-1)*100&gt;100,"&gt;100",(Z15/V15-1)*100))))</f>
        <v>-1.2609160577437217</v>
      </c>
      <c r="AC15" s="75"/>
      <c r="AD15" s="75">
        <v>46848</v>
      </c>
      <c r="AE15" s="119">
        <v>41124</v>
      </c>
      <c r="AF15" s="121">
        <f>IF(AND(AE15=0,AD15=0),0,IF(OR(AND(AE15&gt;0,AD15&lt;=0),AND(AE15&lt;0,AD15&gt;=0)),"nm",IF(AND(AE15&lt;0,AD15&lt;0),IF(-(AE15/AD15-1)*100&lt;-100,"(&gt;100)",-(AE15/AD15-1)*100),IF((AE15/AD15-1)*100&gt;100,"&gt;100",(AE15/AD15-1)*100))))</f>
        <v>-12.218237704918034</v>
      </c>
    </row>
    <row r="16" spans="2:32" ht="14.25">
      <c r="B16" s="101" t="s">
        <v>72</v>
      </c>
      <c r="C16" s="20"/>
      <c r="D16" s="121">
        <v>44119</v>
      </c>
      <c r="E16" s="121">
        <v>47653</v>
      </c>
      <c r="F16" s="121">
        <v>52489</v>
      </c>
      <c r="G16" s="121">
        <v>68501</v>
      </c>
      <c r="H16" s="121">
        <v>56577</v>
      </c>
      <c r="J16" s="121">
        <v>46173</v>
      </c>
      <c r="K16" s="121">
        <v>46754</v>
      </c>
      <c r="L16" s="121">
        <v>47342</v>
      </c>
      <c r="M16" s="121">
        <v>47653</v>
      </c>
      <c r="N16" s="121">
        <v>49718</v>
      </c>
      <c r="O16" s="121">
        <v>54420</v>
      </c>
      <c r="P16" s="121">
        <v>53149</v>
      </c>
      <c r="Q16" s="121">
        <v>52489</v>
      </c>
      <c r="R16" s="121">
        <v>53940</v>
      </c>
      <c r="S16" s="121">
        <v>55118</v>
      </c>
      <c r="T16" s="121">
        <v>67149</v>
      </c>
      <c r="U16" s="121">
        <v>63869</v>
      </c>
      <c r="V16" s="121">
        <v>60250</v>
      </c>
      <c r="W16" s="121">
        <v>60174</v>
      </c>
      <c r="X16" s="121">
        <v>56899</v>
      </c>
      <c r="Y16" s="121">
        <v>56577</v>
      </c>
      <c r="Z16" s="122">
        <v>59863</v>
      </c>
      <c r="AA16" s="121">
        <f>IF(AND(Z16=0,Y16=0),0,IF(OR(AND(Z16&gt;0,Y16&lt;=0),AND(Z16&lt;0,Y16&gt;=0)),"nm",IF(AND(Z16&lt;0,Y16&lt;0),IF(-(Z16/Y16-1)*100&lt;-100,"(&gt;100)",-(Z16/Y16-1)*100),IF((Z16/Y16-1)*100&gt;100,"&gt;100",(Z16/Y16-1)*100))))</f>
        <v>5.808013857221139</v>
      </c>
      <c r="AB16" s="121">
        <f>IF(AND(Z16=0,V16=0),0,IF(OR(AND(Z16&gt;0,V16&lt;=0),AND(Z16&lt;0,V16&gt;=0)),"nm",IF(AND(Z16&lt;0,V16&lt;0),IF(-(Z16/V16-1)*100&lt;-100,"(&gt;100)",-(Z16/V16-1)*100),IF((Z16/V16-1)*100&gt;100,"&gt;100",(Z16/V16-1)*100))))</f>
        <v>-0.6423236514522812</v>
      </c>
      <c r="AD16" s="121">
        <v>63869</v>
      </c>
      <c r="AE16" s="122">
        <f>Z16</f>
        <v>59863</v>
      </c>
      <c r="AF16" s="121">
        <f>IF(AND(AE16=0,AD16=0),0,IF(OR(AND(AE16&gt;0,AD16&lt;=0),AND(AE16&lt;0,AD16&gt;=0)),"nm",IF(AND(AE16&lt;0,AD16&lt;0),IF(-(AE16/AD16-1)*100&lt;-100,"(&gt;100)",-(AE16/AD16-1)*100),IF((AE16/AD16-1)*100&gt;100,"&gt;100",(AE16/AD16-1)*100))))</f>
        <v>-6.272213436878616</v>
      </c>
    </row>
    <row r="17" spans="2:32" ht="14.25">
      <c r="B17" s="101" t="s">
        <v>10</v>
      </c>
      <c r="C17" s="20"/>
      <c r="D17" s="121">
        <v>44119</v>
      </c>
      <c r="E17" s="121">
        <v>47653</v>
      </c>
      <c r="F17" s="121">
        <v>52489</v>
      </c>
      <c r="G17" s="121">
        <v>68501</v>
      </c>
      <c r="H17" s="121">
        <v>56577</v>
      </c>
      <c r="J17" s="121">
        <v>46173</v>
      </c>
      <c r="K17" s="121">
        <v>46754</v>
      </c>
      <c r="L17" s="121">
        <v>47342</v>
      </c>
      <c r="M17" s="121">
        <v>47653</v>
      </c>
      <c r="N17" s="121">
        <v>49718</v>
      </c>
      <c r="O17" s="121">
        <v>54420</v>
      </c>
      <c r="P17" s="121">
        <v>53149</v>
      </c>
      <c r="Q17" s="121">
        <v>52489</v>
      </c>
      <c r="R17" s="121">
        <f>R16</f>
        <v>53940</v>
      </c>
      <c r="S17" s="121">
        <f>S16</f>
        <v>55118</v>
      </c>
      <c r="T17" s="121">
        <f>T16</f>
        <v>67149</v>
      </c>
      <c r="U17" s="121">
        <f>U16</f>
        <v>63869</v>
      </c>
      <c r="V17" s="121">
        <v>60250</v>
      </c>
      <c r="W17" s="121">
        <v>60174</v>
      </c>
      <c r="X17" s="121">
        <v>56899</v>
      </c>
      <c r="Y17" s="121">
        <v>56577</v>
      </c>
      <c r="Z17" s="122">
        <v>59863</v>
      </c>
      <c r="AA17" s="121">
        <f>IF(AND(Z17=0,Y17=0),0,IF(OR(AND(Z17&gt;0,Y17&lt;=0),AND(Z17&lt;0,Y17&gt;=0)),"nm",IF(AND(Z17&lt;0,Y17&lt;0),IF(-(Z17/Y17-1)*100&lt;-100,"(&gt;100)",-(Z17/Y17-1)*100),IF((Z17/Y17-1)*100&gt;100,"&gt;100",(Z17/Y17-1)*100))))</f>
        <v>5.808013857221139</v>
      </c>
      <c r="AB17" s="121">
        <f>IF(AND(Z17=0,V17=0),0,IF(OR(AND(Z17&gt;0,V17&lt;=0),AND(Z17&lt;0,V17&gt;=0)),"nm",IF(AND(Z17&lt;0,V17&lt;0),IF(-(Z17/V17-1)*100&lt;-100,"(&gt;100)",-(Z17/V17-1)*100),IF((Z17/V17-1)*100&gt;100,"&gt;100",(Z17/V17-1)*100))))</f>
        <v>-0.6423236514522812</v>
      </c>
      <c r="AD17" s="121">
        <v>63869</v>
      </c>
      <c r="AE17" s="122">
        <f>Z17</f>
        <v>59863</v>
      </c>
      <c r="AF17" s="121">
        <f>IF(AND(AE17=0,AD17=0),0,IF(OR(AND(AE17&gt;0,AD17&lt;=0),AND(AE17&lt;0,AD17&gt;=0)),"nm",IF(AND(AE17&lt;0,AD17&lt;0),IF(-(AE17/AD17-1)*100&lt;-100,"(&gt;100)",-(AE17/AD17-1)*100),IF((AE17/AD17-1)*100&gt;100,"&gt;100",(AE17/AD17-1)*100))))</f>
        <v>-6.272213436878616</v>
      </c>
    </row>
    <row r="18" spans="3:31" ht="14.25">
      <c r="C18" s="20"/>
      <c r="D18" s="121"/>
      <c r="H18" s="171"/>
      <c r="Z18" s="364"/>
      <c r="AD18" s="165"/>
      <c r="AE18" s="364"/>
    </row>
    <row r="19" spans="26:31" ht="14.25">
      <c r="Z19" s="364"/>
      <c r="AE19" s="364"/>
    </row>
    <row r="20" spans="26:31" ht="14.25">
      <c r="Z20" s="364"/>
      <c r="AE20" s="364"/>
    </row>
    <row r="21" spans="26:31" ht="14.25">
      <c r="Z21" s="364"/>
      <c r="AE21" s="364"/>
    </row>
    <row r="22" ht="14.25">
      <c r="Z22" s="364"/>
    </row>
    <row r="23" ht="14.25">
      <c r="Z23" s="364"/>
    </row>
    <row r="24" ht="14.25">
      <c r="Z24" s="364"/>
    </row>
    <row r="25" ht="14.25">
      <c r="Z25" s="364"/>
    </row>
    <row r="26" ht="14.25">
      <c r="Z26" s="364"/>
    </row>
  </sheetData>
  <sheetProtection/>
  <mergeCells count="1">
    <mergeCell ref="A2:C2"/>
  </mergeCells>
  <hyperlinks>
    <hyperlink ref="A2" location="Index!A1" display="Back to Index"/>
  </hyperlinks>
  <printOptions/>
  <pageMargins left="0.25" right="0.25" top="1" bottom="1" header="0.5" footer="0.5"/>
  <pageSetup fitToHeight="1" fitToWidth="1" horizontalDpi="600" verticalDpi="600" orientation="portrait" scale="99" r:id="rId1"/>
  <headerFooter alignWithMargins="0">
    <oddFooter>&amp;L&amp;Z&amp;F&amp;A&amp;R&amp;D&amp;T</oddFooter>
  </headerFooter>
</worksheet>
</file>

<file path=xl/worksheets/sheet22.xml><?xml version="1.0" encoding="utf-8"?>
<worksheet xmlns="http://schemas.openxmlformats.org/spreadsheetml/2006/main" xmlns:r="http://schemas.openxmlformats.org/officeDocument/2006/relationships">
  <sheetPr>
    <tabColor indexed="18"/>
    <pageSetUpPr fitToPage="1"/>
  </sheetPr>
  <dimension ref="A1:AF25"/>
  <sheetViews>
    <sheetView zoomScale="80" zoomScaleNormal="80" zoomScalePageLayoutView="0" workbookViewId="0" topLeftCell="A1">
      <pane xSplit="3" ySplit="2" topLeftCell="N3" activePane="bottomRight" state="frozen"/>
      <selection pane="topLeft" activeCell="AA19" sqref="AA19"/>
      <selection pane="topRight" activeCell="AA19" sqref="AA19"/>
      <selection pane="bottomLeft" activeCell="AA19" sqref="AA19"/>
      <selection pane="bottomRight" activeCell="Z10" sqref="Z10"/>
    </sheetView>
  </sheetViews>
  <sheetFormatPr defaultColWidth="9.140625" defaultRowHeight="12.75" outlineLevelCol="1"/>
  <cols>
    <col min="1" max="1" width="4.00390625" style="20" customWidth="1"/>
    <col min="2" max="2" width="4.28125" style="20" customWidth="1"/>
    <col min="3" max="3" width="32.851562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2" bestFit="1" customWidth="1"/>
    <col min="27" max="27" width="6.57421875" style="121" bestFit="1" customWidth="1"/>
    <col min="28" max="28" width="7.7109375" style="121" bestFit="1" customWidth="1"/>
    <col min="29" max="29" width="4.140625" style="121" customWidth="1"/>
    <col min="30" max="30" width="8.57421875" style="121" hidden="1" customWidth="1"/>
    <col min="31" max="31" width="8.57421875" style="122" hidden="1" customWidth="1"/>
    <col min="32" max="32" width="6.57421875" style="121" hidden="1" customWidth="1"/>
    <col min="33" max="16384" width="9.140625" style="20" customWidth="1"/>
  </cols>
  <sheetData>
    <row r="1" spans="1:32" s="42" customFormat="1" ht="20.25">
      <c r="A1" s="41" t="s">
        <v>73</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125"/>
      <c r="AA3" s="17"/>
      <c r="AB3" s="17"/>
      <c r="AC3" s="17"/>
      <c r="AD3" s="17"/>
      <c r="AE3" s="365"/>
      <c r="AF3" s="17"/>
    </row>
    <row r="4" spans="2:32" ht="14.25">
      <c r="B4" s="101" t="s">
        <v>5</v>
      </c>
      <c r="C4" s="20"/>
      <c r="D4" s="121">
        <v>264</v>
      </c>
      <c r="E4" s="121">
        <v>302</v>
      </c>
      <c r="F4" s="121">
        <v>327</v>
      </c>
      <c r="G4" s="121">
        <v>550</v>
      </c>
      <c r="H4" s="121">
        <v>510</v>
      </c>
      <c r="J4" s="121">
        <v>80</v>
      </c>
      <c r="K4" s="121">
        <v>74</v>
      </c>
      <c r="L4" s="121">
        <v>73</v>
      </c>
      <c r="M4" s="121">
        <v>75</v>
      </c>
      <c r="N4" s="121">
        <v>76</v>
      </c>
      <c r="O4" s="121">
        <v>79</v>
      </c>
      <c r="P4" s="121">
        <v>84</v>
      </c>
      <c r="Q4" s="121">
        <v>88</v>
      </c>
      <c r="R4" s="121">
        <v>104</v>
      </c>
      <c r="S4" s="121">
        <v>124</v>
      </c>
      <c r="T4" s="121">
        <v>158</v>
      </c>
      <c r="U4" s="121">
        <v>164</v>
      </c>
      <c r="V4" s="121">
        <v>159</v>
      </c>
      <c r="W4" s="121">
        <v>142</v>
      </c>
      <c r="X4" s="121">
        <v>110</v>
      </c>
      <c r="Y4" s="121">
        <v>99</v>
      </c>
      <c r="Z4" s="122">
        <v>101</v>
      </c>
      <c r="AA4" s="121">
        <f aca="true" t="shared" si="0" ref="AA4:AA12">IF(AND(Z4=0,Y4=0),0,IF(OR(AND(Z4&gt;0,Y4&lt;=0),AND(Z4&lt;0,Y4&gt;=0)),"nm",IF(AND(Z4&lt;0,Y4&lt;0),IF(-(Z4/Y4-1)*100&lt;-100,"(&gt;100)",-(Z4/Y4-1)*100),IF((Z4/Y4-1)*100&gt;100,"&gt;100",(Z4/Y4-1)*100))))</f>
        <v>2.020202020202011</v>
      </c>
      <c r="AB4" s="121">
        <f aca="true" t="shared" si="1" ref="AB4:AB12">IF(AND(Z4=0,V4=0),0,IF(OR(AND(Z4&gt;0,V4&lt;=0),AND(Z4&lt;0,V4&gt;=0)),"nm",IF(AND(Z4&lt;0,V4&lt;0),IF(-(Z4/V4-1)*100&lt;-100,"(&gt;100)",-(Z4/V4-1)*100),IF((Z4/V4-1)*100&gt;100,"&gt;100",(Z4/V4-1)*100))))</f>
        <v>-36.47798742138365</v>
      </c>
      <c r="AD4" s="121">
        <v>550</v>
      </c>
      <c r="AE4" s="122">
        <v>510</v>
      </c>
      <c r="AF4" s="121">
        <f>IF(AND(AE4=0,AD4=0),0,IF(OR(AND(AE4&gt;0,AD4&lt;=0),AND(AE4&lt;0,AD4&gt;=0)),"nm",IF(AND(AE4&lt;0,AD4&lt;0),IF(-(AE4/AD4-1)*100&lt;-100,"(&gt;100)",-(AE4/AD4-1)*100),IF((AE4/AD4-1)*100&gt;100,"&gt;100",(AE4/AD4-1)*100))))</f>
        <v>-7.272727272727275</v>
      </c>
    </row>
    <row r="5" spans="2:32" ht="14.25">
      <c r="B5" s="101" t="s">
        <v>25</v>
      </c>
      <c r="C5" s="20"/>
      <c r="D5" s="121">
        <v>115</v>
      </c>
      <c r="E5" s="121">
        <v>107</v>
      </c>
      <c r="F5" s="121">
        <v>99</v>
      </c>
      <c r="G5" s="121">
        <v>62</v>
      </c>
      <c r="H5" s="121">
        <v>153</v>
      </c>
      <c r="J5" s="121">
        <v>37</v>
      </c>
      <c r="K5" s="121">
        <v>29</v>
      </c>
      <c r="L5" s="121">
        <v>28</v>
      </c>
      <c r="M5" s="121">
        <v>13</v>
      </c>
      <c r="N5" s="121">
        <v>31</v>
      </c>
      <c r="O5" s="121">
        <v>25</v>
      </c>
      <c r="P5" s="121">
        <v>39</v>
      </c>
      <c r="Q5" s="121">
        <v>4</v>
      </c>
      <c r="R5" s="121">
        <v>37</v>
      </c>
      <c r="S5" s="121">
        <v>25</v>
      </c>
      <c r="T5" s="121">
        <v>3</v>
      </c>
      <c r="U5" s="121">
        <v>-3</v>
      </c>
      <c r="V5" s="121">
        <v>22</v>
      </c>
      <c r="W5" s="121">
        <v>61</v>
      </c>
      <c r="X5" s="121">
        <v>32</v>
      </c>
      <c r="Y5" s="121">
        <v>38</v>
      </c>
      <c r="Z5" s="122">
        <v>69</v>
      </c>
      <c r="AA5" s="121">
        <f t="shared" si="0"/>
        <v>81.57894736842107</v>
      </c>
      <c r="AB5" s="121" t="str">
        <f t="shared" si="1"/>
        <v>&gt;100</v>
      </c>
      <c r="AD5" s="121">
        <v>62</v>
      </c>
      <c r="AE5" s="122">
        <v>153</v>
      </c>
      <c r="AF5" s="121" t="str">
        <f>IF(AND(AE5=0,AD5=0),0,IF(OR(AND(AE5&gt;0,AD5&lt;=0),AND(AE5&lt;0,AD5&gt;=0)),"nm",IF(AND(AE5&lt;0,AD5&lt;0),IF(-(AE5/AD5-1)*100&lt;-100,"(&gt;100)",-(AE5/AD5-1)*100),IF((AE5/AD5-1)*100&gt;100,"&gt;100",(AE5/AD5-1)*100))))</f>
        <v>&gt;100</v>
      </c>
    </row>
    <row r="6" spans="2:32" ht="14.25">
      <c r="B6" s="101" t="s">
        <v>6</v>
      </c>
      <c r="C6" s="20"/>
      <c r="D6" s="121">
        <v>379</v>
      </c>
      <c r="E6" s="121">
        <v>409</v>
      </c>
      <c r="F6" s="121">
        <v>426</v>
      </c>
      <c r="G6" s="121">
        <v>612</v>
      </c>
      <c r="H6" s="121">
        <v>663</v>
      </c>
      <c r="J6" s="121">
        <v>117</v>
      </c>
      <c r="K6" s="121">
        <v>103</v>
      </c>
      <c r="L6" s="121">
        <v>101</v>
      </c>
      <c r="M6" s="121">
        <v>88</v>
      </c>
      <c r="N6" s="121">
        <v>107</v>
      </c>
      <c r="O6" s="121">
        <v>104</v>
      </c>
      <c r="P6" s="121">
        <v>123</v>
      </c>
      <c r="Q6" s="121">
        <v>92</v>
      </c>
      <c r="R6" s="121">
        <v>141</v>
      </c>
      <c r="S6" s="121">
        <v>149</v>
      </c>
      <c r="T6" s="121">
        <v>161</v>
      </c>
      <c r="U6" s="121">
        <v>161</v>
      </c>
      <c r="V6" s="121">
        <v>181</v>
      </c>
      <c r="W6" s="121">
        <v>203</v>
      </c>
      <c r="X6" s="121">
        <v>142</v>
      </c>
      <c r="Y6" s="121">
        <v>137</v>
      </c>
      <c r="Z6" s="122">
        <f>SUM(Z4:Z5)</f>
        <v>170</v>
      </c>
      <c r="AA6" s="121">
        <f t="shared" si="0"/>
        <v>24.087591240875916</v>
      </c>
      <c r="AB6" s="121">
        <f t="shared" si="1"/>
        <v>-6.077348066298338</v>
      </c>
      <c r="AD6" s="121">
        <v>612</v>
      </c>
      <c r="AE6" s="122">
        <v>663</v>
      </c>
      <c r="AF6" s="121">
        <f aca="true" t="shared" si="2" ref="AF6:AF12">IF(AND(AE6=0,AD6=0),0,IF(OR(AND(AE6&gt;0,AD6&lt;=0),AND(AE6&lt;0,AD6&gt;=0)),"nm",IF(AND(AE6&lt;0,AD6&lt;0),IF(-(AE6/AD6-1)*100&lt;-100,"(&gt;100)",-(AE6/AD6-1)*100),IF((AE6/AD6-1)*100&gt;100,"&gt;100",(AE6/AD6-1)*100))))</f>
        <v>8.333333333333325</v>
      </c>
    </row>
    <row r="7" spans="2:32" ht="14.25">
      <c r="B7" s="101" t="s">
        <v>0</v>
      </c>
      <c r="C7" s="20"/>
      <c r="D7" s="121">
        <v>203</v>
      </c>
      <c r="E7" s="121">
        <v>270</v>
      </c>
      <c r="F7" s="121">
        <v>325</v>
      </c>
      <c r="G7" s="121">
        <v>397</v>
      </c>
      <c r="H7" s="121">
        <v>498</v>
      </c>
      <c r="J7" s="121">
        <v>60</v>
      </c>
      <c r="K7" s="121">
        <v>63</v>
      </c>
      <c r="L7" s="121">
        <v>66</v>
      </c>
      <c r="M7" s="121">
        <v>81</v>
      </c>
      <c r="N7" s="121">
        <v>69</v>
      </c>
      <c r="O7" s="121">
        <v>78</v>
      </c>
      <c r="P7" s="121">
        <v>80</v>
      </c>
      <c r="Q7" s="121">
        <v>98</v>
      </c>
      <c r="R7" s="121">
        <v>84</v>
      </c>
      <c r="S7" s="121">
        <v>94</v>
      </c>
      <c r="T7" s="121">
        <v>101</v>
      </c>
      <c r="U7" s="121">
        <v>118</v>
      </c>
      <c r="V7" s="121">
        <v>108</v>
      </c>
      <c r="W7" s="121">
        <v>117</v>
      </c>
      <c r="X7" s="121">
        <v>124</v>
      </c>
      <c r="Y7" s="121">
        <v>149</v>
      </c>
      <c r="Z7" s="122">
        <v>118</v>
      </c>
      <c r="AA7" s="121">
        <f t="shared" si="0"/>
        <v>-20.805369127516784</v>
      </c>
      <c r="AB7" s="121">
        <f t="shared" si="1"/>
        <v>9.259259259259256</v>
      </c>
      <c r="AD7" s="121">
        <v>397</v>
      </c>
      <c r="AE7" s="122">
        <v>498</v>
      </c>
      <c r="AF7" s="121">
        <f t="shared" si="2"/>
        <v>25.440806045340047</v>
      </c>
    </row>
    <row r="8" spans="2:32" ht="14.25">
      <c r="B8" s="101" t="s">
        <v>8</v>
      </c>
      <c r="C8" s="20"/>
      <c r="D8" s="121">
        <v>72</v>
      </c>
      <c r="E8" s="121">
        <v>74</v>
      </c>
      <c r="F8" s="121">
        <v>52</v>
      </c>
      <c r="G8" s="121">
        <v>19</v>
      </c>
      <c r="H8" s="121">
        <v>34</v>
      </c>
      <c r="J8" s="121">
        <v>12</v>
      </c>
      <c r="K8" s="121">
        <v>13</v>
      </c>
      <c r="L8" s="121">
        <v>14</v>
      </c>
      <c r="M8" s="121">
        <v>35</v>
      </c>
      <c r="N8" s="121">
        <v>6</v>
      </c>
      <c r="O8" s="121">
        <v>18</v>
      </c>
      <c r="P8" s="121">
        <v>21</v>
      </c>
      <c r="Q8" s="121">
        <v>7</v>
      </c>
      <c r="R8" s="121">
        <v>-2</v>
      </c>
      <c r="S8" s="121">
        <v>4</v>
      </c>
      <c r="T8" s="121">
        <v>7</v>
      </c>
      <c r="U8" s="121">
        <v>10</v>
      </c>
      <c r="V8" s="121">
        <v>5</v>
      </c>
      <c r="W8" s="121">
        <v>2</v>
      </c>
      <c r="X8" s="121">
        <v>8</v>
      </c>
      <c r="Y8" s="121">
        <v>19</v>
      </c>
      <c r="Z8" s="122">
        <v>6</v>
      </c>
      <c r="AA8" s="121">
        <f t="shared" si="0"/>
        <v>-68.42105263157895</v>
      </c>
      <c r="AB8" s="121">
        <f t="shared" si="1"/>
        <v>19.999999999999996</v>
      </c>
      <c r="AD8" s="121">
        <v>19</v>
      </c>
      <c r="AE8" s="122">
        <v>34</v>
      </c>
      <c r="AF8" s="121">
        <f t="shared" si="2"/>
        <v>78.94736842105263</v>
      </c>
    </row>
    <row r="9" spans="2:32" ht="14.25">
      <c r="B9" s="102" t="s">
        <v>67</v>
      </c>
      <c r="C9" s="20"/>
      <c r="D9" s="121">
        <v>14</v>
      </c>
      <c r="E9" s="121">
        <v>17</v>
      </c>
      <c r="F9" s="121">
        <v>20</v>
      </c>
      <c r="G9" s="121">
        <v>22</v>
      </c>
      <c r="H9" s="121">
        <v>6</v>
      </c>
      <c r="J9" s="121">
        <v>3</v>
      </c>
      <c r="K9" s="121">
        <v>3</v>
      </c>
      <c r="L9" s="121">
        <v>5</v>
      </c>
      <c r="M9" s="121">
        <v>6</v>
      </c>
      <c r="N9" s="121">
        <v>4</v>
      </c>
      <c r="O9" s="121">
        <v>7</v>
      </c>
      <c r="P9" s="121">
        <v>4</v>
      </c>
      <c r="Q9" s="121">
        <v>5</v>
      </c>
      <c r="R9" s="121">
        <v>5</v>
      </c>
      <c r="S9" s="121">
        <v>5</v>
      </c>
      <c r="T9" s="121">
        <v>3</v>
      </c>
      <c r="U9" s="121">
        <v>9</v>
      </c>
      <c r="V9" s="121">
        <v>2</v>
      </c>
      <c r="W9" s="121">
        <v>1</v>
      </c>
      <c r="X9" s="121">
        <v>1</v>
      </c>
      <c r="Y9" s="121">
        <v>2</v>
      </c>
      <c r="Z9" s="122">
        <v>1</v>
      </c>
      <c r="AA9" s="121">
        <f t="shared" si="0"/>
        <v>-50</v>
      </c>
      <c r="AB9" s="121">
        <f t="shared" si="1"/>
        <v>-50</v>
      </c>
      <c r="AD9" s="121">
        <v>22</v>
      </c>
      <c r="AE9" s="122">
        <v>6</v>
      </c>
      <c r="AF9" s="121">
        <f t="shared" si="2"/>
        <v>-72.72727272727273</v>
      </c>
    </row>
    <row r="10" spans="2:32" ht="14.25">
      <c r="B10" s="102" t="s">
        <v>9</v>
      </c>
      <c r="C10" s="20"/>
      <c r="D10" s="121">
        <v>118</v>
      </c>
      <c r="E10" s="121">
        <v>82</v>
      </c>
      <c r="F10" s="121">
        <v>69</v>
      </c>
      <c r="G10" s="121">
        <v>218</v>
      </c>
      <c r="H10" s="121">
        <v>137</v>
      </c>
      <c r="J10" s="121">
        <v>48</v>
      </c>
      <c r="K10" s="121">
        <v>30</v>
      </c>
      <c r="L10" s="121">
        <v>26</v>
      </c>
      <c r="M10" s="121">
        <v>-22</v>
      </c>
      <c r="N10" s="121">
        <v>36</v>
      </c>
      <c r="O10" s="121">
        <v>15</v>
      </c>
      <c r="P10" s="121">
        <v>26</v>
      </c>
      <c r="Q10" s="121">
        <v>-8</v>
      </c>
      <c r="R10" s="121">
        <v>64</v>
      </c>
      <c r="S10" s="121">
        <v>56</v>
      </c>
      <c r="T10" s="121">
        <v>56</v>
      </c>
      <c r="U10" s="121">
        <v>42</v>
      </c>
      <c r="V10" s="121">
        <v>70</v>
      </c>
      <c r="W10" s="121">
        <v>85</v>
      </c>
      <c r="X10" s="121">
        <v>11</v>
      </c>
      <c r="Y10" s="121">
        <v>-29</v>
      </c>
      <c r="Z10" s="122">
        <v>47</v>
      </c>
      <c r="AA10" s="121" t="str">
        <f t="shared" si="0"/>
        <v>nm</v>
      </c>
      <c r="AB10" s="121">
        <f t="shared" si="1"/>
        <v>-32.85714285714286</v>
      </c>
      <c r="AD10" s="121">
        <v>218</v>
      </c>
      <c r="AE10" s="122">
        <v>137</v>
      </c>
      <c r="AF10" s="121">
        <f t="shared" si="2"/>
        <v>-37.15596330275229</v>
      </c>
    </row>
    <row r="11" spans="2:32" ht="14.25">
      <c r="B11" s="102" t="s">
        <v>68</v>
      </c>
      <c r="C11" s="20"/>
      <c r="D11" s="121">
        <v>14</v>
      </c>
      <c r="E11" s="121">
        <v>14</v>
      </c>
      <c r="F11" s="121">
        <v>22</v>
      </c>
      <c r="G11" s="121">
        <v>40</v>
      </c>
      <c r="H11" s="121">
        <v>27</v>
      </c>
      <c r="J11" s="121">
        <v>9</v>
      </c>
      <c r="K11" s="121">
        <v>9</v>
      </c>
      <c r="L11" s="121">
        <v>5</v>
      </c>
      <c r="M11" s="121">
        <v>-9</v>
      </c>
      <c r="N11" s="121">
        <v>6</v>
      </c>
      <c r="O11" s="121">
        <v>3</v>
      </c>
      <c r="P11" s="121">
        <v>6</v>
      </c>
      <c r="Q11" s="121">
        <v>7</v>
      </c>
      <c r="R11" s="121">
        <v>11</v>
      </c>
      <c r="S11" s="121">
        <v>13</v>
      </c>
      <c r="T11" s="121">
        <v>10</v>
      </c>
      <c r="U11" s="121">
        <v>6</v>
      </c>
      <c r="V11" s="121">
        <v>15</v>
      </c>
      <c r="W11" s="121">
        <v>18</v>
      </c>
      <c r="X11" s="121">
        <v>0</v>
      </c>
      <c r="Y11" s="121">
        <v>-6</v>
      </c>
      <c r="Z11" s="122">
        <v>10</v>
      </c>
      <c r="AA11" s="121" t="str">
        <f t="shared" si="0"/>
        <v>nm</v>
      </c>
      <c r="AB11" s="121">
        <f t="shared" si="1"/>
        <v>-33.333333333333336</v>
      </c>
      <c r="AD11" s="121">
        <v>40</v>
      </c>
      <c r="AE11" s="122">
        <v>27</v>
      </c>
      <c r="AF11" s="121">
        <f t="shared" si="2"/>
        <v>-32.49999999999999</v>
      </c>
    </row>
    <row r="12" spans="2:32" ht="14.25">
      <c r="B12" s="102" t="s">
        <v>53</v>
      </c>
      <c r="C12" s="20"/>
      <c r="D12" s="121">
        <v>104</v>
      </c>
      <c r="E12" s="121">
        <v>68</v>
      </c>
      <c r="F12" s="121">
        <v>47</v>
      </c>
      <c r="G12" s="121">
        <v>178</v>
      </c>
      <c r="H12" s="121">
        <v>110</v>
      </c>
      <c r="J12" s="121">
        <v>39</v>
      </c>
      <c r="K12" s="121">
        <v>21</v>
      </c>
      <c r="L12" s="121">
        <v>21</v>
      </c>
      <c r="M12" s="121">
        <v>-13</v>
      </c>
      <c r="N12" s="121">
        <v>30</v>
      </c>
      <c r="O12" s="121">
        <v>12</v>
      </c>
      <c r="P12" s="121">
        <v>20</v>
      </c>
      <c r="Q12" s="121">
        <v>-15</v>
      </c>
      <c r="R12" s="121">
        <v>53</v>
      </c>
      <c r="S12" s="121">
        <v>43</v>
      </c>
      <c r="T12" s="121">
        <v>46</v>
      </c>
      <c r="U12" s="121">
        <v>36</v>
      </c>
      <c r="V12" s="121">
        <v>55</v>
      </c>
      <c r="W12" s="121">
        <v>67</v>
      </c>
      <c r="X12" s="121">
        <v>11</v>
      </c>
      <c r="Y12" s="121">
        <v>-23</v>
      </c>
      <c r="Z12" s="122">
        <v>37</v>
      </c>
      <c r="AA12" s="121" t="str">
        <f t="shared" si="0"/>
        <v>nm</v>
      </c>
      <c r="AB12" s="121">
        <f t="shared" si="1"/>
        <v>-32.72727272727273</v>
      </c>
      <c r="AD12" s="121">
        <v>178</v>
      </c>
      <c r="AE12" s="122">
        <v>110</v>
      </c>
      <c r="AF12" s="121">
        <f t="shared" si="2"/>
        <v>-38.20224719101124</v>
      </c>
    </row>
    <row r="13" spans="3:31" ht="14.25">
      <c r="C13" s="20"/>
      <c r="D13" s="121"/>
      <c r="H13" s="165"/>
      <c r="Z13" s="143"/>
      <c r="AE13" s="143"/>
    </row>
    <row r="14" spans="1:32"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44"/>
      <c r="AA14" s="17"/>
      <c r="AB14" s="17"/>
      <c r="AC14" s="17"/>
      <c r="AD14" s="169"/>
      <c r="AE14" s="144"/>
      <c r="AF14" s="17"/>
    </row>
    <row r="15" spans="2:32" ht="14.25">
      <c r="B15" s="101" t="s">
        <v>71</v>
      </c>
      <c r="C15" s="20"/>
      <c r="D15" s="121">
        <v>9683</v>
      </c>
      <c r="E15" s="121">
        <v>10252</v>
      </c>
      <c r="F15" s="121">
        <v>12208</v>
      </c>
      <c r="G15" s="121">
        <v>16341</v>
      </c>
      <c r="H15" s="121">
        <v>18278</v>
      </c>
      <c r="J15" s="121">
        <v>9439</v>
      </c>
      <c r="K15" s="121">
        <v>9154</v>
      </c>
      <c r="L15" s="121">
        <v>9510</v>
      </c>
      <c r="M15" s="121">
        <v>10252</v>
      </c>
      <c r="N15" s="121">
        <v>10798</v>
      </c>
      <c r="O15" s="121">
        <v>11524</v>
      </c>
      <c r="P15" s="121">
        <v>11541</v>
      </c>
      <c r="Q15" s="121">
        <v>12208</v>
      </c>
      <c r="R15" s="121">
        <v>13028</v>
      </c>
      <c r="S15" s="121">
        <v>14379</v>
      </c>
      <c r="T15" s="121">
        <v>15743</v>
      </c>
      <c r="U15" s="121">
        <v>16341</v>
      </c>
      <c r="V15" s="121">
        <v>16111</v>
      </c>
      <c r="W15" s="121">
        <v>16905</v>
      </c>
      <c r="X15" s="121">
        <v>17398</v>
      </c>
      <c r="Y15" s="121">
        <v>18278</v>
      </c>
      <c r="Z15" s="122">
        <v>19050</v>
      </c>
      <c r="AA15" s="121">
        <f>IF(AND(Z15=0,Y15=0),0,IF(OR(AND(Z15&gt;0,Y15&lt;=0),AND(Z15&lt;0,Y15&gt;=0)),"nm",IF(AND(Z15&lt;0,Y15&lt;0),IF(-(Z15/Y15-1)*100&lt;-100,"(&gt;100)",-(Z15/Y15-1)*100),IF((Z15/Y15-1)*100&gt;100,"&gt;100",(Z15/Y15-1)*100))))</f>
        <v>4.223656855235802</v>
      </c>
      <c r="AB15" s="121">
        <f>IF(AND(Z15=0,V15=0),0,IF(OR(AND(Z15&gt;0,V15&lt;=0),AND(Z15&lt;0,V15&gt;=0)),"nm",IF(AND(Z15&lt;0,V15&lt;0),IF(-(Z15/V15-1)*100&lt;-100,"(&gt;100)",-(Z15/V15-1)*100),IF((Z15/V15-1)*100&gt;100,"&gt;100",(Z15/V15-1)*100))))</f>
        <v>18.24219477375706</v>
      </c>
      <c r="AD15" s="121">
        <v>16341</v>
      </c>
      <c r="AE15" s="122">
        <v>18278</v>
      </c>
      <c r="AF15" s="121">
        <f>IF(AND(AE15=0,AD15=0),0,IF(OR(AND(AE15&gt;0,AD15&lt;=0),AND(AE15&lt;0,AD15&gt;=0)),"nm",IF(AND(AE15&lt;0,AD15&lt;0),IF(-(AE15/AD15-1)*100&lt;-100,"(&gt;100)",-(AE15/AD15-1)*100),IF((AE15/AD15-1)*100&gt;100,"&gt;100",(AE15/AD15-1)*100))))</f>
        <v>11.853619729514708</v>
      </c>
    </row>
    <row r="16" spans="2:32" ht="14.25">
      <c r="B16" s="101" t="s">
        <v>72</v>
      </c>
      <c r="C16" s="20"/>
      <c r="D16" s="121">
        <v>16563</v>
      </c>
      <c r="E16" s="121">
        <v>14362</v>
      </c>
      <c r="F16" s="121">
        <v>21033</v>
      </c>
      <c r="G16" s="121">
        <v>31281</v>
      </c>
      <c r="H16" s="121">
        <v>35317</v>
      </c>
      <c r="J16" s="121">
        <v>14438</v>
      </c>
      <c r="K16" s="121">
        <v>13778</v>
      </c>
      <c r="L16" s="121">
        <v>15023</v>
      </c>
      <c r="M16" s="121">
        <v>14362</v>
      </c>
      <c r="N16" s="121">
        <v>15724</v>
      </c>
      <c r="O16" s="121">
        <v>16974</v>
      </c>
      <c r="P16" s="121">
        <v>18861</v>
      </c>
      <c r="Q16" s="121">
        <v>21033</v>
      </c>
      <c r="R16" s="121">
        <v>23097</v>
      </c>
      <c r="S16" s="121">
        <v>25727</v>
      </c>
      <c r="T16" s="121">
        <v>31061</v>
      </c>
      <c r="U16" s="121">
        <v>31281</v>
      </c>
      <c r="V16" s="121">
        <v>30381</v>
      </c>
      <c r="W16" s="121">
        <v>33591</v>
      </c>
      <c r="X16" s="121">
        <v>32567</v>
      </c>
      <c r="Y16" s="121">
        <v>35317</v>
      </c>
      <c r="Z16" s="122">
        <v>38660</v>
      </c>
      <c r="AA16" s="121">
        <f>IF(AND(Z16=0,Y16=0),0,IF(OR(AND(Z16&gt;0,Y16&lt;=0),AND(Z16&lt;0,Y16&gt;=0)),"nm",IF(AND(Z16&lt;0,Y16&lt;0),IF(-(Z16/Y16-1)*100&lt;-100,"(&gt;100)",-(Z16/Y16-1)*100),IF((Z16/Y16-1)*100&gt;100,"&gt;100",(Z16/Y16-1)*100))))</f>
        <v>9.465696406829572</v>
      </c>
      <c r="AB16" s="121">
        <f>IF(AND(Z16=0,V16=0),0,IF(OR(AND(Z16&gt;0,V16&lt;=0),AND(Z16&lt;0,V16&gt;=0)),"nm",IF(AND(Z16&lt;0,V16&lt;0),IF(-(Z16/V16-1)*100&lt;-100,"(&gt;100)",-(Z16/V16-1)*100),IF((Z16/V16-1)*100&gt;100,"&gt;100",(Z16/V16-1)*100))))</f>
        <v>27.250584246733144</v>
      </c>
      <c r="AD16" s="121">
        <v>31281</v>
      </c>
      <c r="AE16" s="122">
        <f>Z16</f>
        <v>38660</v>
      </c>
      <c r="AF16" s="121">
        <f>IF(AND(AE16=0,AD16=0),0,IF(OR(AND(AE16&gt;0,AD16&lt;=0),AND(AE16&lt;0,AD16&gt;=0)),"nm",IF(AND(AE16&lt;0,AD16&lt;0),IF(-(AE16/AD16-1)*100&lt;-100,"(&gt;100)",-(AE16/AD16-1)*100),IF((AE16/AD16-1)*100&gt;100,"&gt;100",(AE16/AD16-1)*100))))</f>
        <v>23.589399315878644</v>
      </c>
    </row>
    <row r="17" spans="2:32" ht="14.25">
      <c r="B17" s="101" t="s">
        <v>10</v>
      </c>
      <c r="C17" s="20"/>
      <c r="D17" s="121">
        <v>16563</v>
      </c>
      <c r="E17" s="121">
        <v>14362</v>
      </c>
      <c r="F17" s="121">
        <v>21033</v>
      </c>
      <c r="G17" s="121">
        <v>31281</v>
      </c>
      <c r="H17" s="121">
        <v>35317</v>
      </c>
      <c r="J17" s="121">
        <v>14438</v>
      </c>
      <c r="K17" s="121">
        <v>13778</v>
      </c>
      <c r="L17" s="121">
        <v>15023</v>
      </c>
      <c r="M17" s="121">
        <v>14362</v>
      </c>
      <c r="N17" s="121">
        <v>15724</v>
      </c>
      <c r="O17" s="121">
        <v>16974</v>
      </c>
      <c r="P17" s="121">
        <v>18861</v>
      </c>
      <c r="Q17" s="121">
        <v>21033</v>
      </c>
      <c r="R17" s="121">
        <v>23097</v>
      </c>
      <c r="S17" s="121">
        <v>25727</v>
      </c>
      <c r="T17" s="121">
        <v>31061</v>
      </c>
      <c r="U17" s="121">
        <v>31281</v>
      </c>
      <c r="V17" s="121">
        <v>30381</v>
      </c>
      <c r="W17" s="121">
        <f>W16</f>
        <v>33591</v>
      </c>
      <c r="X17" s="121">
        <v>32567</v>
      </c>
      <c r="Y17" s="121">
        <v>35317</v>
      </c>
      <c r="Z17" s="122">
        <f>Z16</f>
        <v>38660</v>
      </c>
      <c r="AA17" s="121">
        <f>IF(AND(Z17=0,Y17=0),0,IF(OR(AND(Z17&gt;0,Y17&lt;=0),AND(Z17&lt;0,Y17&gt;=0)),"nm",IF(AND(Z17&lt;0,Y17&lt;0),IF(-(Z17/Y17-1)*100&lt;-100,"(&gt;100)",-(Z17/Y17-1)*100),IF((Z17/Y17-1)*100&gt;100,"&gt;100",(Z17/Y17-1)*100))))</f>
        <v>9.465696406829572</v>
      </c>
      <c r="AB17" s="121">
        <f>IF(AND(Z17=0,V17=0),0,IF(OR(AND(Z17&gt;0,V17&lt;=0),AND(Z17&lt;0,V17&gt;=0)),"nm",IF(AND(Z17&lt;0,V17&lt;0),IF(-(Z17/V17-1)*100&lt;-100,"(&gt;100)",-(Z17/V17-1)*100),IF((Z17/V17-1)*100&gt;100,"&gt;100",(Z17/V17-1)*100))))</f>
        <v>27.250584246733144</v>
      </c>
      <c r="AD17" s="121">
        <v>31281</v>
      </c>
      <c r="AE17" s="122">
        <f>Z17</f>
        <v>38660</v>
      </c>
      <c r="AF17" s="121">
        <f>IF(AND(AE17=0,AD17=0),0,IF(OR(AND(AE17&gt;0,AD17&lt;=0),AND(AE17&lt;0,AD17&gt;=0)),"nm",IF(AND(AE17&lt;0,AD17&lt;0),IF(-(AE17/AD17-1)*100&lt;-100,"(&gt;100)",-(AE17/AD17-1)*100),IF((AE17/AD17-1)*100&gt;100,"&gt;100",(AE17/AD17-1)*100))))</f>
        <v>23.589399315878644</v>
      </c>
    </row>
    <row r="18" spans="3:31" ht="14.25">
      <c r="C18" s="20"/>
      <c r="D18" s="121"/>
      <c r="Z18" s="364"/>
      <c r="AD18" s="165"/>
      <c r="AE18" s="364"/>
    </row>
    <row r="19" spans="4:31" ht="14.25">
      <c r="D19" s="121"/>
      <c r="Z19" s="364"/>
      <c r="AE19" s="364"/>
    </row>
    <row r="20" spans="26:31" ht="14.25">
      <c r="Z20" s="364"/>
      <c r="AE20" s="364"/>
    </row>
    <row r="21" spans="26:31" ht="14.25">
      <c r="Z21" s="364"/>
      <c r="AE21" s="364"/>
    </row>
    <row r="22" spans="26:31" ht="14.25">
      <c r="Z22" s="364"/>
      <c r="AE22" s="364"/>
    </row>
    <row r="23" ht="14.25">
      <c r="Z23" s="364"/>
    </row>
    <row r="24" ht="14.25">
      <c r="Z24" s="364"/>
    </row>
    <row r="25" ht="14.25">
      <c r="Z25" s="364"/>
    </row>
  </sheetData>
  <sheetProtection/>
  <mergeCells count="1">
    <mergeCell ref="A2:C2"/>
  </mergeCells>
  <hyperlinks>
    <hyperlink ref="A2" location="Index!A1" display="Back to Index"/>
  </hyperlinks>
  <printOptions/>
  <pageMargins left="0.5" right="0.36" top="1" bottom="1" header="0.5" footer="0.5"/>
  <pageSetup fitToHeight="1" fitToWidth="1" horizontalDpi="600" verticalDpi="600" orientation="portrait" scale="97" r:id="rId1"/>
  <headerFooter alignWithMargins="0">
    <oddFooter>&amp;L&amp;Z&amp;F&amp;A&amp;R&amp;D&amp;T</oddFooter>
  </headerFooter>
</worksheet>
</file>

<file path=xl/worksheets/sheet23.xml><?xml version="1.0" encoding="utf-8"?>
<worksheet xmlns="http://schemas.openxmlformats.org/spreadsheetml/2006/main" xmlns:r="http://schemas.openxmlformats.org/officeDocument/2006/relationships">
  <sheetPr>
    <tabColor indexed="18"/>
    <pageSetUpPr fitToPage="1"/>
  </sheetPr>
  <dimension ref="A1:AF32"/>
  <sheetViews>
    <sheetView zoomScale="80" zoomScaleNormal="80" zoomScalePageLayoutView="0" workbookViewId="0" topLeftCell="A1">
      <pane xSplit="3" ySplit="2" topLeftCell="N3" activePane="bottomRight" state="frozen"/>
      <selection pane="topLeft" activeCell="AA19" sqref="AA19"/>
      <selection pane="topRight" activeCell="AA19" sqref="AA19"/>
      <selection pane="bottomLeft" activeCell="AA19" sqref="AA19"/>
      <selection pane="bottomRight" activeCell="Z9" sqref="Z9"/>
    </sheetView>
  </sheetViews>
  <sheetFormatPr defaultColWidth="9.140625" defaultRowHeight="12.75" outlineLevelCol="1"/>
  <cols>
    <col min="1" max="1" width="4.00390625" style="20" customWidth="1"/>
    <col min="2" max="2" width="4.28125" style="20" customWidth="1"/>
    <col min="3" max="3" width="32.28125" style="5" customWidth="1"/>
    <col min="4" max="4" width="7.2812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2" bestFit="1" customWidth="1"/>
    <col min="27" max="28" width="6.57421875" style="121" bestFit="1" customWidth="1"/>
    <col min="29" max="29" width="4.57421875" style="121" customWidth="1"/>
    <col min="30" max="30" width="8.57421875" style="121" hidden="1" customWidth="1"/>
    <col min="31" max="31" width="8.57421875" style="122" hidden="1" customWidth="1"/>
    <col min="32" max="32" width="8.7109375" style="121" hidden="1" customWidth="1"/>
    <col min="33" max="16384" width="9.140625" style="20" customWidth="1"/>
  </cols>
  <sheetData>
    <row r="1" spans="1:32" s="42" customFormat="1" ht="20.25">
      <c r="A1" s="41" t="s">
        <v>93</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65"/>
      <c r="AA3" s="17"/>
      <c r="AB3" s="17"/>
      <c r="AC3" s="17"/>
      <c r="AD3" s="17"/>
      <c r="AE3" s="141"/>
      <c r="AF3" s="17"/>
    </row>
    <row r="4" spans="2:32" ht="14.25">
      <c r="B4" s="101" t="s">
        <v>5</v>
      </c>
      <c r="C4" s="20"/>
      <c r="D4" s="121">
        <v>164</v>
      </c>
      <c r="E4" s="121">
        <v>326</v>
      </c>
      <c r="F4" s="121">
        <v>283</v>
      </c>
      <c r="G4" s="121">
        <v>361</v>
      </c>
      <c r="H4" s="121">
        <v>451</v>
      </c>
      <c r="J4" s="121">
        <v>73</v>
      </c>
      <c r="K4" s="121">
        <v>90</v>
      </c>
      <c r="L4" s="121">
        <v>84</v>
      </c>
      <c r="M4" s="121">
        <v>79</v>
      </c>
      <c r="N4" s="121">
        <v>77</v>
      </c>
      <c r="O4" s="121">
        <v>70</v>
      </c>
      <c r="P4" s="121">
        <v>68</v>
      </c>
      <c r="Q4" s="121">
        <v>68</v>
      </c>
      <c r="R4" s="121">
        <v>74</v>
      </c>
      <c r="S4" s="121">
        <v>91</v>
      </c>
      <c r="T4" s="121">
        <v>98</v>
      </c>
      <c r="U4" s="121">
        <v>98</v>
      </c>
      <c r="V4" s="121">
        <v>105</v>
      </c>
      <c r="W4" s="121">
        <v>114</v>
      </c>
      <c r="X4" s="121">
        <v>118</v>
      </c>
      <c r="Y4" s="121">
        <v>114</v>
      </c>
      <c r="Z4" s="122">
        <v>109</v>
      </c>
      <c r="AA4" s="121">
        <f aca="true" t="shared" si="0" ref="AA4:AA12">IF(AND(Z4=0,Y4=0),0,IF(OR(AND(Z4&gt;0,Y4&lt;=0),AND(Z4&lt;0,Y4&gt;=0)),"nm",IF(AND(Z4&lt;0,Y4&lt;0),IF(-(Z4/Y4-1)*100&lt;-100,"(&gt;100)",-(Z4/Y4-1)*100),IF((Z4/Y4-1)*100&gt;100,"&gt;100",(Z4/Y4-1)*100))))</f>
        <v>-4.385964912280704</v>
      </c>
      <c r="AB4" s="121">
        <f aca="true" t="shared" si="1" ref="AB4:AB12">IF(AND(Z4=0,V4=0),0,IF(OR(AND(Z4&gt;0,V4&lt;=0),AND(Z4&lt;0,V4&gt;=0)),"nm",IF(AND(Z4&lt;0,V4&lt;0),IF(-(Z4/V4-1)*100&lt;-100,"(&gt;100)",-(Z4/V4-1)*100),IF((Z4/V4-1)*100&gt;100,"&gt;100",(Z4/V4-1)*100))))</f>
        <v>3.809523809523818</v>
      </c>
      <c r="AD4" s="121">
        <v>361</v>
      </c>
      <c r="AE4" s="122">
        <v>451</v>
      </c>
      <c r="AF4" s="121">
        <f>IF(AND(AE4=0,AD4=0),0,IF(OR(AND(AE4&gt;0,AD4&lt;=0),AND(AE4&lt;0,AD4&gt;=0)),"nm",IF(AND(AE4&lt;0,AD4&lt;0),IF(-(AE4/AD4-1)*100&lt;-100,"(&gt;100)",-(AE4/AD4-1)*100),IF((AE4/AD4-1)*100&gt;100,"&gt;100",(AE4/AD4-1)*100))))</f>
        <v>24.93074792243768</v>
      </c>
    </row>
    <row r="5" spans="2:32" ht="14.25">
      <c r="B5" s="101" t="s">
        <v>25</v>
      </c>
      <c r="C5" s="20"/>
      <c r="D5" s="121">
        <v>195</v>
      </c>
      <c r="E5" s="121">
        <v>175</v>
      </c>
      <c r="F5" s="121">
        <v>174</v>
      </c>
      <c r="G5" s="121">
        <v>196</v>
      </c>
      <c r="H5" s="121">
        <v>140</v>
      </c>
      <c r="J5" s="121">
        <v>82</v>
      </c>
      <c r="K5" s="121">
        <v>31</v>
      </c>
      <c r="L5" s="121">
        <v>36</v>
      </c>
      <c r="M5" s="121">
        <v>26</v>
      </c>
      <c r="N5" s="121">
        <v>54</v>
      </c>
      <c r="O5" s="121">
        <v>52</v>
      </c>
      <c r="P5" s="121">
        <v>35</v>
      </c>
      <c r="Q5" s="121">
        <v>33</v>
      </c>
      <c r="R5" s="121">
        <v>57</v>
      </c>
      <c r="S5" s="121">
        <v>33</v>
      </c>
      <c r="T5" s="121">
        <v>63</v>
      </c>
      <c r="U5" s="121">
        <v>43</v>
      </c>
      <c r="V5" s="121">
        <v>62</v>
      </c>
      <c r="W5" s="121">
        <v>23</v>
      </c>
      <c r="X5" s="121">
        <v>22</v>
      </c>
      <c r="Y5" s="121">
        <v>33</v>
      </c>
      <c r="Z5" s="122">
        <v>44</v>
      </c>
      <c r="AA5" s="121">
        <f t="shared" si="0"/>
        <v>33.33333333333333</v>
      </c>
      <c r="AB5" s="121">
        <f t="shared" si="1"/>
        <v>-29.032258064516125</v>
      </c>
      <c r="AD5" s="121">
        <v>196</v>
      </c>
      <c r="AE5" s="122">
        <v>140</v>
      </c>
      <c r="AF5" s="121">
        <f>IF(AND(AE5=0,AD5=0),0,IF(OR(AND(AE5&gt;0,AD5&lt;=0),AND(AE5&lt;0,AD5&gt;=0)),"nm",IF(AND(AE5&lt;0,AD5&lt;0),IF(-(AE5/AD5-1)*100&lt;-100,"(&gt;100)",-(AE5/AD5-1)*100),IF((AE5/AD5-1)*100&gt;100,"&gt;100",(AE5/AD5-1)*100))))</f>
        <v>-28.57142857142857</v>
      </c>
    </row>
    <row r="6" spans="2:32" ht="14.25">
      <c r="B6" s="101" t="s">
        <v>6</v>
      </c>
      <c r="C6" s="20"/>
      <c r="D6" s="121">
        <v>359</v>
      </c>
      <c r="E6" s="121">
        <v>501</v>
      </c>
      <c r="F6" s="121">
        <v>457</v>
      </c>
      <c r="G6" s="121">
        <v>557</v>
      </c>
      <c r="H6" s="121">
        <v>591</v>
      </c>
      <c r="J6" s="121">
        <v>155</v>
      </c>
      <c r="K6" s="121">
        <v>121</v>
      </c>
      <c r="L6" s="121">
        <v>120</v>
      </c>
      <c r="M6" s="121">
        <v>105</v>
      </c>
      <c r="N6" s="121">
        <v>131</v>
      </c>
      <c r="O6" s="121">
        <v>122</v>
      </c>
      <c r="P6" s="121">
        <v>103</v>
      </c>
      <c r="Q6" s="121">
        <v>101</v>
      </c>
      <c r="R6" s="121">
        <v>131</v>
      </c>
      <c r="S6" s="121">
        <v>124</v>
      </c>
      <c r="T6" s="121">
        <v>161</v>
      </c>
      <c r="U6" s="121">
        <v>141</v>
      </c>
      <c r="V6" s="121">
        <v>167</v>
      </c>
      <c r="W6" s="121">
        <v>137</v>
      </c>
      <c r="X6" s="121">
        <v>140</v>
      </c>
      <c r="Y6" s="121">
        <v>147</v>
      </c>
      <c r="Z6" s="122">
        <f>SUM(Z4:Z5)</f>
        <v>153</v>
      </c>
      <c r="AA6" s="121">
        <f t="shared" si="0"/>
        <v>4.081632653061229</v>
      </c>
      <c r="AB6" s="121">
        <f t="shared" si="1"/>
        <v>-8.383233532934131</v>
      </c>
      <c r="AD6" s="121">
        <v>557</v>
      </c>
      <c r="AE6" s="122">
        <v>591</v>
      </c>
      <c r="AF6" s="121">
        <f>IF(AND(AE6=0,AD6=0),0,IF(OR(AND(AE6&gt;0,AD6&lt;=0),AND(AE6&lt;0,AD6&gt;=0)),"nm",IF(AND(AE6&lt;0,AD6&lt;0),IF(-(AE6/AD6-1)*100&lt;-100,"(&gt;100)",-(AE6/AD6-1)*100),IF((AE6/AD6-1)*100&gt;100,"&gt;100",(AE6/AD6-1)*100))))</f>
        <v>6.104129263913816</v>
      </c>
    </row>
    <row r="7" spans="2:32" ht="14.25">
      <c r="B7" s="101" t="s">
        <v>0</v>
      </c>
      <c r="C7" s="20"/>
      <c r="D7" s="121">
        <v>154</v>
      </c>
      <c r="E7" s="121">
        <v>172</v>
      </c>
      <c r="F7" s="121">
        <v>207</v>
      </c>
      <c r="G7" s="121">
        <v>247</v>
      </c>
      <c r="H7" s="121">
        <v>275</v>
      </c>
      <c r="J7" s="121">
        <v>41</v>
      </c>
      <c r="K7" s="121">
        <v>41</v>
      </c>
      <c r="L7" s="121">
        <v>44</v>
      </c>
      <c r="M7" s="121">
        <v>46</v>
      </c>
      <c r="N7" s="121">
        <v>53</v>
      </c>
      <c r="O7" s="121">
        <v>52</v>
      </c>
      <c r="P7" s="121">
        <v>57</v>
      </c>
      <c r="Q7" s="121">
        <v>45</v>
      </c>
      <c r="R7" s="121">
        <v>54</v>
      </c>
      <c r="S7" s="121">
        <v>58</v>
      </c>
      <c r="T7" s="121">
        <v>60</v>
      </c>
      <c r="U7" s="121">
        <v>75</v>
      </c>
      <c r="V7" s="121">
        <v>63</v>
      </c>
      <c r="W7" s="121">
        <v>63</v>
      </c>
      <c r="X7" s="121">
        <v>66</v>
      </c>
      <c r="Y7" s="121">
        <v>83</v>
      </c>
      <c r="Z7" s="122">
        <v>69</v>
      </c>
      <c r="AA7" s="121">
        <f t="shared" si="0"/>
        <v>-16.867469879518072</v>
      </c>
      <c r="AB7" s="121">
        <f t="shared" si="1"/>
        <v>9.523809523809534</v>
      </c>
      <c r="AD7" s="121">
        <v>247</v>
      </c>
      <c r="AE7" s="122">
        <v>275</v>
      </c>
      <c r="AF7" s="121">
        <f aca="true" t="shared" si="2" ref="AF7:AF12">IF(AND(AE7=0,AD7=0),0,IF(OR(AND(AE7&gt;0,AD7&lt;=0),AND(AE7&lt;0,AD7&gt;=0)),"nm",IF(AND(AE7&lt;0,AD7&lt;0),IF(-(AE7/AD7-1)*100&lt;-100,"(&gt;100)",-(AE7/AD7-1)*100),IF((AE7/AD7-1)*100&gt;100,"&gt;100",(AE7/AD7-1)*100))))</f>
        <v>11.336032388663963</v>
      </c>
    </row>
    <row r="8" spans="2:32" ht="14.25">
      <c r="B8" s="101" t="s">
        <v>8</v>
      </c>
      <c r="C8" s="20"/>
      <c r="D8" s="121">
        <v>35</v>
      </c>
      <c r="E8" s="121">
        <v>69</v>
      </c>
      <c r="F8" s="121">
        <v>79</v>
      </c>
      <c r="G8" s="121">
        <v>39</v>
      </c>
      <c r="H8" s="121">
        <v>38</v>
      </c>
      <c r="J8" s="121">
        <v>34</v>
      </c>
      <c r="K8" s="121">
        <v>10</v>
      </c>
      <c r="L8" s="121">
        <v>10</v>
      </c>
      <c r="M8" s="121">
        <v>15</v>
      </c>
      <c r="N8" s="121">
        <v>11</v>
      </c>
      <c r="O8" s="121">
        <v>14</v>
      </c>
      <c r="P8" s="121">
        <v>41</v>
      </c>
      <c r="Q8" s="121">
        <v>13</v>
      </c>
      <c r="R8" s="121">
        <v>2</v>
      </c>
      <c r="S8" s="121">
        <v>10</v>
      </c>
      <c r="T8" s="121">
        <v>19</v>
      </c>
      <c r="U8" s="121">
        <v>8</v>
      </c>
      <c r="V8" s="121">
        <v>8</v>
      </c>
      <c r="W8" s="121">
        <v>28</v>
      </c>
      <c r="X8" s="121">
        <v>8</v>
      </c>
      <c r="Y8" s="121">
        <v>-6</v>
      </c>
      <c r="Z8" s="122">
        <v>11</v>
      </c>
      <c r="AA8" s="121" t="str">
        <f t="shared" si="0"/>
        <v>nm</v>
      </c>
      <c r="AB8" s="121">
        <f t="shared" si="1"/>
        <v>37.5</v>
      </c>
      <c r="AD8" s="121">
        <v>39</v>
      </c>
      <c r="AE8" s="122">
        <v>38</v>
      </c>
      <c r="AF8" s="121">
        <f t="shared" si="2"/>
        <v>-2.564102564102566</v>
      </c>
    </row>
    <row r="9" spans="2:32" ht="14.25">
      <c r="B9" s="102" t="s">
        <v>67</v>
      </c>
      <c r="C9" s="20"/>
      <c r="D9" s="121">
        <v>40</v>
      </c>
      <c r="E9" s="121">
        <v>33</v>
      </c>
      <c r="F9" s="121">
        <v>72</v>
      </c>
      <c r="G9" s="121">
        <v>85</v>
      </c>
      <c r="H9" s="121">
        <v>99</v>
      </c>
      <c r="J9" s="121">
        <v>14</v>
      </c>
      <c r="K9" s="121">
        <v>6</v>
      </c>
      <c r="L9" s="121">
        <v>16</v>
      </c>
      <c r="M9" s="121">
        <v>-3</v>
      </c>
      <c r="N9" s="121">
        <v>15</v>
      </c>
      <c r="O9" s="121">
        <v>16</v>
      </c>
      <c r="P9" s="121">
        <v>25</v>
      </c>
      <c r="Q9" s="121">
        <v>16</v>
      </c>
      <c r="R9" s="121">
        <v>16</v>
      </c>
      <c r="S9" s="121">
        <v>21</v>
      </c>
      <c r="T9" s="121">
        <v>27</v>
      </c>
      <c r="U9" s="121">
        <v>21</v>
      </c>
      <c r="V9" s="121">
        <v>32</v>
      </c>
      <c r="W9" s="121">
        <v>27</v>
      </c>
      <c r="X9" s="121">
        <v>22</v>
      </c>
      <c r="Y9" s="121">
        <v>18</v>
      </c>
      <c r="Z9" s="122">
        <v>22</v>
      </c>
      <c r="AA9" s="121">
        <f t="shared" si="0"/>
        <v>22.222222222222232</v>
      </c>
      <c r="AB9" s="121">
        <f t="shared" si="1"/>
        <v>-31.25</v>
      </c>
      <c r="AD9" s="121">
        <v>85</v>
      </c>
      <c r="AE9" s="122">
        <v>99</v>
      </c>
      <c r="AF9" s="121">
        <f t="shared" si="2"/>
        <v>16.470588235294127</v>
      </c>
    </row>
    <row r="10" spans="2:32" ht="14.25">
      <c r="B10" s="102" t="s">
        <v>9</v>
      </c>
      <c r="C10" s="20"/>
      <c r="D10" s="121">
        <v>210</v>
      </c>
      <c r="E10" s="121">
        <v>293</v>
      </c>
      <c r="F10" s="121">
        <v>243</v>
      </c>
      <c r="G10" s="121">
        <v>356</v>
      </c>
      <c r="H10" s="121">
        <v>377</v>
      </c>
      <c r="J10" s="121">
        <v>94</v>
      </c>
      <c r="K10" s="121">
        <v>76</v>
      </c>
      <c r="L10" s="121">
        <v>82</v>
      </c>
      <c r="M10" s="121">
        <v>41</v>
      </c>
      <c r="N10" s="121">
        <v>82</v>
      </c>
      <c r="O10" s="121">
        <v>72</v>
      </c>
      <c r="P10" s="121">
        <v>30</v>
      </c>
      <c r="Q10" s="121">
        <v>59</v>
      </c>
      <c r="R10" s="121">
        <v>91</v>
      </c>
      <c r="S10" s="121">
        <v>77</v>
      </c>
      <c r="T10" s="121">
        <v>109</v>
      </c>
      <c r="U10" s="121">
        <v>79</v>
      </c>
      <c r="V10" s="121">
        <v>128</v>
      </c>
      <c r="W10" s="121">
        <v>73</v>
      </c>
      <c r="X10" s="121">
        <v>88</v>
      </c>
      <c r="Y10" s="121">
        <v>88</v>
      </c>
      <c r="Z10" s="122">
        <v>95</v>
      </c>
      <c r="AA10" s="121">
        <f t="shared" si="0"/>
        <v>7.954545454545459</v>
      </c>
      <c r="AB10" s="121">
        <f t="shared" si="1"/>
        <v>-25.78125</v>
      </c>
      <c r="AD10" s="121">
        <v>356</v>
      </c>
      <c r="AE10" s="122">
        <v>377</v>
      </c>
      <c r="AF10" s="121">
        <f t="shared" si="2"/>
        <v>5.89887640449438</v>
      </c>
    </row>
    <row r="11" spans="2:32" ht="14.25">
      <c r="B11" s="102" t="s">
        <v>68</v>
      </c>
      <c r="C11" s="20"/>
      <c r="D11" s="121">
        <v>58</v>
      </c>
      <c r="E11" s="121">
        <v>67</v>
      </c>
      <c r="F11" s="121">
        <v>40</v>
      </c>
      <c r="G11" s="121">
        <v>70</v>
      </c>
      <c r="H11" s="121">
        <v>84</v>
      </c>
      <c r="J11" s="121">
        <v>31</v>
      </c>
      <c r="K11" s="121">
        <v>18</v>
      </c>
      <c r="L11" s="121">
        <v>12</v>
      </c>
      <c r="M11" s="121">
        <v>6</v>
      </c>
      <c r="N11" s="121">
        <v>20</v>
      </c>
      <c r="O11" s="121">
        <v>17</v>
      </c>
      <c r="P11" s="121">
        <v>-4</v>
      </c>
      <c r="Q11" s="121">
        <v>7</v>
      </c>
      <c r="R11" s="121">
        <v>16</v>
      </c>
      <c r="S11" s="121">
        <v>15</v>
      </c>
      <c r="T11" s="121">
        <v>21</v>
      </c>
      <c r="U11" s="121">
        <v>18</v>
      </c>
      <c r="V11" s="121">
        <v>32</v>
      </c>
      <c r="W11" s="121">
        <v>14</v>
      </c>
      <c r="X11" s="121">
        <v>18</v>
      </c>
      <c r="Y11" s="121">
        <v>20</v>
      </c>
      <c r="Z11" s="122">
        <v>26</v>
      </c>
      <c r="AA11" s="121">
        <f t="shared" si="0"/>
        <v>30.000000000000004</v>
      </c>
      <c r="AB11" s="121">
        <f t="shared" si="1"/>
        <v>-18.75</v>
      </c>
      <c r="AD11" s="121">
        <v>70</v>
      </c>
      <c r="AE11" s="122">
        <v>84</v>
      </c>
      <c r="AF11" s="121">
        <f t="shared" si="2"/>
        <v>19.999999999999996</v>
      </c>
    </row>
    <row r="12" spans="2:32" ht="14.25">
      <c r="B12" s="102" t="s">
        <v>53</v>
      </c>
      <c r="C12" s="20"/>
      <c r="D12" s="121">
        <v>152</v>
      </c>
      <c r="E12" s="121">
        <v>226</v>
      </c>
      <c r="F12" s="121">
        <v>203</v>
      </c>
      <c r="G12" s="121">
        <v>285</v>
      </c>
      <c r="H12" s="121">
        <v>293</v>
      </c>
      <c r="J12" s="121">
        <v>63</v>
      </c>
      <c r="K12" s="121">
        <v>58</v>
      </c>
      <c r="L12" s="121">
        <v>70</v>
      </c>
      <c r="M12" s="121">
        <v>35</v>
      </c>
      <c r="N12" s="121">
        <v>62</v>
      </c>
      <c r="O12" s="121">
        <v>55</v>
      </c>
      <c r="P12" s="121">
        <v>34</v>
      </c>
      <c r="Q12" s="121">
        <v>52</v>
      </c>
      <c r="R12" s="121">
        <v>75</v>
      </c>
      <c r="S12" s="121">
        <v>62</v>
      </c>
      <c r="T12" s="121">
        <v>88</v>
      </c>
      <c r="U12" s="121">
        <v>60</v>
      </c>
      <c r="V12" s="121">
        <v>96</v>
      </c>
      <c r="W12" s="121">
        <v>59</v>
      </c>
      <c r="X12" s="121">
        <v>70</v>
      </c>
      <c r="Y12" s="121">
        <v>68</v>
      </c>
      <c r="Z12" s="122">
        <v>69</v>
      </c>
      <c r="AA12" s="121">
        <f t="shared" si="0"/>
        <v>1.4705882352941124</v>
      </c>
      <c r="AB12" s="121">
        <f t="shared" si="1"/>
        <v>-28.125</v>
      </c>
      <c r="AD12" s="121">
        <v>285</v>
      </c>
      <c r="AE12" s="122">
        <v>293</v>
      </c>
      <c r="AF12" s="121">
        <f t="shared" si="2"/>
        <v>2.807017543859658</v>
      </c>
    </row>
    <row r="13" spans="3:31" ht="14.25">
      <c r="C13" s="20"/>
      <c r="D13" s="121"/>
      <c r="H13" s="165"/>
      <c r="Z13" s="143"/>
      <c r="AD13" s="165"/>
      <c r="AE13" s="143"/>
    </row>
    <row r="14" spans="1:32"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44"/>
      <c r="AA14" s="17"/>
      <c r="AB14" s="17"/>
      <c r="AC14" s="17"/>
      <c r="AD14" s="169"/>
      <c r="AE14" s="144"/>
      <c r="AF14" s="17"/>
    </row>
    <row r="15" spans="2:32" ht="14.25">
      <c r="B15" s="101" t="s">
        <v>71</v>
      </c>
      <c r="C15" s="20"/>
      <c r="D15" s="121">
        <v>5557</v>
      </c>
      <c r="E15" s="121">
        <v>8058</v>
      </c>
      <c r="F15" s="121">
        <v>9121</v>
      </c>
      <c r="G15" s="121">
        <v>10570</v>
      </c>
      <c r="H15" s="121">
        <v>9251</v>
      </c>
      <c r="J15" s="121">
        <v>7920</v>
      </c>
      <c r="K15" s="121">
        <v>8437</v>
      </c>
      <c r="L15" s="121">
        <v>8399</v>
      </c>
      <c r="M15" s="121">
        <v>8058</v>
      </c>
      <c r="N15" s="121">
        <v>7483</v>
      </c>
      <c r="O15" s="121">
        <v>8664</v>
      </c>
      <c r="P15" s="121">
        <v>9436</v>
      </c>
      <c r="Q15" s="121">
        <v>9121</v>
      </c>
      <c r="R15" s="121">
        <v>9116</v>
      </c>
      <c r="S15" s="121">
        <v>9586</v>
      </c>
      <c r="T15" s="121">
        <v>10462</v>
      </c>
      <c r="U15" s="121">
        <v>10570</v>
      </c>
      <c r="V15" s="121">
        <v>10336</v>
      </c>
      <c r="W15" s="121">
        <v>10512</v>
      </c>
      <c r="X15" s="121">
        <v>10171</v>
      </c>
      <c r="Y15" s="121">
        <v>9251</v>
      </c>
      <c r="Z15" s="122">
        <v>9158</v>
      </c>
      <c r="AA15" s="121">
        <f>IF(AND(Z15=0,Y15=0),0,IF(OR(AND(Z15&gt;0,Y15&lt;=0),AND(Z15&lt;0,Y15&gt;=0)),"nm",IF(AND(Z15&lt;0,Y15&lt;0),IF(-(Z15/Y15-1)*100&lt;-100,"(&gt;100)",-(Z15/Y15-1)*100),IF((Z15/Y15-1)*100&gt;100,"&gt;100",(Z15/Y15-1)*100))))</f>
        <v>-1.0052967246784172</v>
      </c>
      <c r="AB15" s="121">
        <f>IF(AND(Z15=0,V15=0),0,IF(OR(AND(Z15&gt;0,V15&lt;=0),AND(Z15&lt;0,V15&gt;=0)),"nm",IF(AND(Z15&lt;0,V15&lt;0),IF(-(Z15/V15-1)*100&lt;-100,"(&gt;100)",-(Z15/V15-1)*100),IF((Z15/V15-1)*100&gt;100,"&gt;100",(Z15/V15-1)*100))))</f>
        <v>-11.397058823529417</v>
      </c>
      <c r="AD15" s="121">
        <v>10570</v>
      </c>
      <c r="AE15" s="122">
        <v>9251</v>
      </c>
      <c r="AF15" s="121">
        <f>IF(AND(AE15=0,AD15=0),0,IF(OR(AND(AE15&gt;0,AD15&lt;=0),AND(AE15&lt;0,AD15&gt;=0)),"nm",IF(AND(AE15&lt;0,AD15&lt;0),IF(-(AE15/AD15-1)*100&lt;-100,"(&gt;100)",-(AE15/AD15-1)*100),IF((AE15/AD15-1)*100&gt;100,"&gt;100",(AE15/AD15-1)*100))))</f>
        <v>-12.47871333964049</v>
      </c>
    </row>
    <row r="16" spans="2:32" ht="14.25">
      <c r="B16" s="101" t="s">
        <v>72</v>
      </c>
      <c r="C16" s="20"/>
      <c r="D16" s="121">
        <v>9889</v>
      </c>
      <c r="E16" s="121">
        <v>12743</v>
      </c>
      <c r="F16" s="121">
        <v>13710</v>
      </c>
      <c r="G16" s="121">
        <v>16224</v>
      </c>
      <c r="H16" s="121">
        <v>16860</v>
      </c>
      <c r="J16" s="121">
        <v>12898</v>
      </c>
      <c r="K16" s="121">
        <v>13243</v>
      </c>
      <c r="L16" s="121">
        <v>12676</v>
      </c>
      <c r="M16" s="121">
        <v>12743</v>
      </c>
      <c r="N16" s="121">
        <v>14313</v>
      </c>
      <c r="O16" s="121">
        <v>14344</v>
      </c>
      <c r="P16" s="121">
        <v>14115</v>
      </c>
      <c r="Q16" s="121">
        <v>13710</v>
      </c>
      <c r="R16" s="121">
        <v>14344</v>
      </c>
      <c r="S16" s="121">
        <v>15152</v>
      </c>
      <c r="T16" s="121">
        <v>16411</v>
      </c>
      <c r="U16" s="121">
        <v>16224</v>
      </c>
      <c r="V16" s="121">
        <v>17214</v>
      </c>
      <c r="W16" s="121">
        <v>17430</v>
      </c>
      <c r="X16" s="121">
        <v>17327</v>
      </c>
      <c r="Y16" s="121">
        <v>16860</v>
      </c>
      <c r="Z16" s="122">
        <v>17523</v>
      </c>
      <c r="AA16" s="121">
        <f>IF(AND(Z16=0,Y16=0),0,IF(OR(AND(Z16&gt;0,Y16&lt;=0),AND(Z16&lt;0,Y16&gt;=0)),"nm",IF(AND(Z16&lt;0,Y16&lt;0),IF(-(Z16/Y16-1)*100&lt;-100,"(&gt;100)",-(Z16/Y16-1)*100),IF((Z16/Y16-1)*100&gt;100,"&gt;100",(Z16/Y16-1)*100))))</f>
        <v>3.9323843416370075</v>
      </c>
      <c r="AB16" s="121">
        <f>IF(AND(Z16=0,V16=0),0,IF(OR(AND(Z16&gt;0,V16&lt;=0),AND(Z16&lt;0,V16&gt;=0)),"nm",IF(AND(Z16&lt;0,V16&lt;0),IF(-(Z16/V16-1)*100&lt;-100,"(&gt;100)",-(Z16/V16-1)*100),IF((Z16/V16-1)*100&gt;100,"&gt;100",(Z16/V16-1)*100))))</f>
        <v>1.7950505402579253</v>
      </c>
      <c r="AD16" s="121">
        <v>16224</v>
      </c>
      <c r="AE16" s="122">
        <f>Z16</f>
        <v>17523</v>
      </c>
      <c r="AF16" s="121">
        <f>IF(AND(AE16=0,AD16=0),0,IF(OR(AND(AE16&gt;0,AD16&lt;=0),AND(AE16&lt;0,AD16&gt;=0)),"nm",IF(AND(AE16&lt;0,AD16&lt;0),IF(-(AE16/AD16-1)*100&lt;-100,"(&gt;100)",-(AE16/AD16-1)*100),IF((AE16/AD16-1)*100&gt;100,"&gt;100",(AE16/AD16-1)*100))))</f>
        <v>8.006656804733737</v>
      </c>
    </row>
    <row r="17" spans="2:32" ht="14.25">
      <c r="B17" s="101" t="s">
        <v>10</v>
      </c>
      <c r="C17" s="20"/>
      <c r="D17" s="121">
        <v>9889</v>
      </c>
      <c r="E17" s="121">
        <v>12743</v>
      </c>
      <c r="F17" s="121">
        <v>13710</v>
      </c>
      <c r="G17" s="121">
        <v>16224</v>
      </c>
      <c r="H17" s="121">
        <v>16860</v>
      </c>
      <c r="J17" s="121">
        <v>12898</v>
      </c>
      <c r="K17" s="121">
        <v>13243</v>
      </c>
      <c r="L17" s="121">
        <v>12676</v>
      </c>
      <c r="M17" s="121">
        <v>12743</v>
      </c>
      <c r="N17" s="121">
        <v>14313</v>
      </c>
      <c r="O17" s="121">
        <v>14344</v>
      </c>
      <c r="P17" s="121">
        <v>14115</v>
      </c>
      <c r="Q17" s="121">
        <v>13710</v>
      </c>
      <c r="R17" s="121">
        <v>14344</v>
      </c>
      <c r="S17" s="121">
        <v>15152</v>
      </c>
      <c r="T17" s="121">
        <v>16411</v>
      </c>
      <c r="U17" s="121">
        <v>16224</v>
      </c>
      <c r="V17" s="121">
        <v>17214</v>
      </c>
      <c r="W17" s="121">
        <v>17430</v>
      </c>
      <c r="X17" s="121">
        <v>17327</v>
      </c>
      <c r="Y17" s="121">
        <v>16860</v>
      </c>
      <c r="Z17" s="122">
        <f>Z16</f>
        <v>17523</v>
      </c>
      <c r="AA17" s="121">
        <f>IF(AND(Z17=0,Y17=0),0,IF(OR(AND(Z17&gt;0,Y17&lt;=0),AND(Z17&lt;0,Y17&gt;=0)),"nm",IF(AND(Z17&lt;0,Y17&lt;0),IF(-(Z17/Y17-1)*100&lt;-100,"(&gt;100)",-(Z17/Y17-1)*100),IF((Z17/Y17-1)*100&gt;100,"&gt;100",(Z17/Y17-1)*100))))</f>
        <v>3.9323843416370075</v>
      </c>
      <c r="AB17" s="121">
        <f>IF(AND(Z17=0,V17=0),0,IF(OR(AND(Z17&gt;0,V17&lt;=0),AND(Z17&lt;0,V17&gt;=0)),"nm",IF(AND(Z17&lt;0,V17&lt;0),IF(-(Z17/V17-1)*100&lt;-100,"(&gt;100)",-(Z17/V17-1)*100),IF((Z17/V17-1)*100&gt;100,"&gt;100",(Z17/V17-1)*100))))</f>
        <v>1.7950505402579253</v>
      </c>
      <c r="AD17" s="121">
        <v>16224</v>
      </c>
      <c r="AE17" s="122">
        <f>Z17</f>
        <v>17523</v>
      </c>
      <c r="AF17" s="121">
        <f>IF(AND(AE17=0,AD17=0),0,IF(OR(AND(AE17&gt;0,AD17&lt;=0),AND(AE17&lt;0,AD17&gt;=0)),"nm",IF(AND(AE17&lt;0,AD17&lt;0),IF(-(AE17/AD17-1)*100&lt;-100,"(&gt;100)",-(AE17/AD17-1)*100),IF((AE17/AD17-1)*100&gt;100,"&gt;100",(AE17/AD17-1)*100))))</f>
        <v>8.006656804733737</v>
      </c>
    </row>
    <row r="18" spans="8:30" ht="14.25">
      <c r="H18" s="171"/>
      <c r="Z18" s="364"/>
      <c r="AD18" s="165"/>
    </row>
    <row r="19" spans="4:31" ht="14.25">
      <c r="D19" s="121"/>
      <c r="H19" s="171"/>
      <c r="Z19" s="364"/>
      <c r="AE19" s="119"/>
    </row>
    <row r="20" spans="4:26" ht="14.25">
      <c r="D20" s="121"/>
      <c r="H20" s="171"/>
      <c r="Z20" s="364"/>
    </row>
    <row r="21" ht="14.25">
      <c r="Z21" s="364"/>
    </row>
    <row r="22" ht="14.25">
      <c r="Z22" s="364"/>
    </row>
    <row r="23" ht="14.25">
      <c r="Z23" s="364"/>
    </row>
    <row r="24" ht="14.25">
      <c r="Z24" s="364"/>
    </row>
    <row r="25" ht="14.25">
      <c r="Z25" s="364"/>
    </row>
    <row r="26" ht="14.25">
      <c r="Z26" s="364"/>
    </row>
    <row r="27" ht="14.25">
      <c r="Z27" s="364"/>
    </row>
    <row r="28" ht="14.25">
      <c r="Z28" s="364"/>
    </row>
    <row r="29" ht="14.25">
      <c r="Z29" s="364"/>
    </row>
    <row r="30" ht="14.25">
      <c r="Z30" s="364"/>
    </row>
    <row r="31" ht="14.25">
      <c r="Z31" s="364"/>
    </row>
    <row r="32" ht="14.25">
      <c r="Z32" s="364"/>
    </row>
  </sheetData>
  <sheetProtection/>
  <mergeCells count="1">
    <mergeCell ref="A2:C2"/>
  </mergeCells>
  <hyperlinks>
    <hyperlink ref="A2" location="Index!A1" display="Back to Index"/>
  </hyperlinks>
  <printOptions/>
  <pageMargins left="0.33" right="0.27" top="1" bottom="1" header="0.5" footer="0.5"/>
  <pageSetup fitToHeight="1" fitToWidth="1" horizontalDpi="600" verticalDpi="600" orientation="portrait" r:id="rId1"/>
  <headerFooter alignWithMargins="0">
    <oddFooter>&amp;L&amp;Z&amp;F&amp;A&amp;R&amp;D&amp;T</oddFooter>
  </headerFooter>
</worksheet>
</file>

<file path=xl/worksheets/sheet24.xml><?xml version="1.0" encoding="utf-8"?>
<worksheet xmlns="http://schemas.openxmlformats.org/spreadsheetml/2006/main" xmlns:r="http://schemas.openxmlformats.org/officeDocument/2006/relationships">
  <sheetPr>
    <tabColor indexed="18"/>
    <pageSetUpPr fitToPage="1"/>
  </sheetPr>
  <dimension ref="A1:AF24"/>
  <sheetViews>
    <sheetView zoomScale="80" zoomScaleNormal="80" zoomScalePageLayoutView="0" workbookViewId="0" topLeftCell="A1">
      <pane xSplit="3" ySplit="2" topLeftCell="L3" activePane="bottomRight" state="frozen"/>
      <selection pane="topLeft" activeCell="AA19" sqref="AA19"/>
      <selection pane="topRight" activeCell="AA19" sqref="AA19"/>
      <selection pane="bottomLeft" activeCell="AA19" sqref="AA19"/>
      <selection pane="bottomRight" activeCell="AH11" sqref="AH11"/>
    </sheetView>
  </sheetViews>
  <sheetFormatPr defaultColWidth="9.140625" defaultRowHeight="12.75" outlineLevelCol="1"/>
  <cols>
    <col min="1" max="1" width="4.00390625" style="20" customWidth="1"/>
    <col min="2" max="2" width="4.28125" style="20" customWidth="1"/>
    <col min="3" max="3" width="31.7109375" style="5" customWidth="1"/>
    <col min="4" max="4" width="8.57421875" style="126" hidden="1" customWidth="1" outlineLevel="1"/>
    <col min="5" max="8" width="8.57421875" style="121" hidden="1" customWidth="1" outlineLevel="1"/>
    <col min="9" max="9" width="4.00390625" style="121" hidden="1" customWidth="1" outlineLevel="1"/>
    <col min="10" max="17" width="8.57421875" style="121" hidden="1" customWidth="1" outlineLevel="1"/>
    <col min="18"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9.28125" style="122" customWidth="1"/>
    <col min="27" max="28" width="6.57421875" style="121" bestFit="1" customWidth="1"/>
    <col min="29" max="29" width="3.421875" style="121" customWidth="1"/>
    <col min="30" max="30" width="8.57421875" style="121" hidden="1" customWidth="1"/>
    <col min="31" max="31" width="10.00390625" style="122" hidden="1" customWidth="1"/>
    <col min="32" max="32" width="10.7109375" style="121" hidden="1" customWidth="1"/>
    <col min="33" max="16384" width="9.140625" style="20" customWidth="1"/>
  </cols>
  <sheetData>
    <row r="1" spans="1:32" s="42" customFormat="1" ht="20.25">
      <c r="A1" s="41" t="s">
        <v>77</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74" t="s">
        <v>366</v>
      </c>
      <c r="AE2" s="74" t="s">
        <v>392</v>
      </c>
      <c r="AF2" s="290" t="s">
        <v>393</v>
      </c>
    </row>
    <row r="3" spans="1:32" s="24" customFormat="1" ht="14.25" customHeight="1">
      <c r="A3" s="88" t="s">
        <v>103</v>
      </c>
      <c r="B3" s="31"/>
      <c r="D3" s="17"/>
      <c r="E3" s="17"/>
      <c r="F3" s="17"/>
      <c r="G3" s="17"/>
      <c r="H3" s="17"/>
      <c r="I3" s="17"/>
      <c r="J3" s="17"/>
      <c r="K3" s="17"/>
      <c r="L3" s="17"/>
      <c r="M3" s="17"/>
      <c r="N3" s="17"/>
      <c r="O3" s="17"/>
      <c r="P3" s="17"/>
      <c r="Q3" s="17"/>
      <c r="R3" s="17"/>
      <c r="S3" s="17"/>
      <c r="T3" s="17"/>
      <c r="U3" s="17"/>
      <c r="V3" s="17"/>
      <c r="W3" s="17"/>
      <c r="X3" s="17"/>
      <c r="Y3" s="17"/>
      <c r="Z3" s="365"/>
      <c r="AA3" s="17"/>
      <c r="AB3" s="17"/>
      <c r="AC3" s="17"/>
      <c r="AD3" s="17"/>
      <c r="AE3" s="365"/>
      <c r="AF3" s="17"/>
    </row>
    <row r="4" spans="2:32" ht="14.25">
      <c r="B4" s="101" t="s">
        <v>5</v>
      </c>
      <c r="C4" s="20"/>
      <c r="D4" s="121">
        <v>131</v>
      </c>
      <c r="E4" s="121">
        <v>201</v>
      </c>
      <c r="F4" s="121">
        <v>242</v>
      </c>
      <c r="G4" s="121">
        <v>219</v>
      </c>
      <c r="H4" s="121">
        <v>229</v>
      </c>
      <c r="J4" s="121">
        <v>44</v>
      </c>
      <c r="K4" s="121">
        <v>53</v>
      </c>
      <c r="L4" s="121">
        <v>51</v>
      </c>
      <c r="M4" s="121">
        <v>53</v>
      </c>
      <c r="N4" s="121">
        <v>54</v>
      </c>
      <c r="O4" s="121">
        <v>77</v>
      </c>
      <c r="P4" s="121">
        <v>57</v>
      </c>
      <c r="Q4" s="121">
        <v>54</v>
      </c>
      <c r="R4" s="121">
        <v>54</v>
      </c>
      <c r="S4" s="121">
        <v>57</v>
      </c>
      <c r="T4" s="121">
        <v>57</v>
      </c>
      <c r="U4" s="121">
        <v>51</v>
      </c>
      <c r="V4" s="121">
        <v>54</v>
      </c>
      <c r="W4" s="121">
        <v>58</v>
      </c>
      <c r="X4" s="121">
        <v>63</v>
      </c>
      <c r="Y4" s="121">
        <v>54</v>
      </c>
      <c r="Z4" s="122">
        <v>51</v>
      </c>
      <c r="AA4" s="121">
        <f aca="true" t="shared" si="0" ref="AA4:AA12">IF(AND(Z4=0,Y4=0),0,IF(OR(AND(Z4&gt;0,Y4&lt;=0),AND(Z4&lt;0,Y4&gt;=0)),"nm",IF(AND(Z4&lt;0,Y4&lt;0),IF(-(Z4/Y4-1)*100&lt;-100,"(&gt;100)",-(Z4/Y4-1)*100),IF((Z4/Y4-1)*100&gt;100,"&gt;100",(Z4/Y4-1)*100))))</f>
        <v>-5.555555555555558</v>
      </c>
      <c r="AB4" s="121">
        <f aca="true" t="shared" si="1" ref="AB4:AB12">IF(AND(Z4=0,V4=0),0,IF(OR(AND(Z4&gt;0,V4&lt;=0),AND(Z4&lt;0,V4&gt;=0)),"nm",IF(AND(Z4&lt;0,V4&lt;0),IF(-(Z4/V4-1)*100&lt;-100,"(&gt;100)",-(Z4/V4-1)*100),IF((Z4/V4-1)*100&gt;100,"&gt;100",(Z4/V4-1)*100))))</f>
        <v>-5.555555555555558</v>
      </c>
      <c r="AD4" s="121">
        <v>219</v>
      </c>
      <c r="AE4" s="122">
        <v>229</v>
      </c>
      <c r="AF4" s="121">
        <f>IF(AND(AE4=0,AD4=0),0,IF(OR(AND(AE4&gt;0,AD4&lt;=0),AND(AE4&lt;0,AD4&gt;=0)),"nm",IF(AND(AE4&lt;0,AD4&lt;0),IF(-(AE4/AD4-1)*100&lt;-100,"(&gt;100)",-(AE4/AD4-1)*100),IF((AE4/AD4-1)*100&gt;100,"&gt;100",(AE4/AD4-1)*100))))</f>
        <v>4.566210045662111</v>
      </c>
    </row>
    <row r="5" spans="2:32" ht="14.25">
      <c r="B5" s="101" t="s">
        <v>25</v>
      </c>
      <c r="C5" s="20"/>
      <c r="D5" s="121">
        <v>79</v>
      </c>
      <c r="E5" s="121">
        <v>135</v>
      </c>
      <c r="F5" s="121">
        <v>50</v>
      </c>
      <c r="G5" s="121">
        <v>71</v>
      </c>
      <c r="H5" s="121">
        <v>83</v>
      </c>
      <c r="J5" s="121">
        <v>36</v>
      </c>
      <c r="K5" s="121">
        <v>29</v>
      </c>
      <c r="L5" s="121">
        <v>40</v>
      </c>
      <c r="M5" s="121">
        <v>30</v>
      </c>
      <c r="N5" s="121">
        <v>28</v>
      </c>
      <c r="O5" s="121">
        <v>-7</v>
      </c>
      <c r="P5" s="121">
        <v>17</v>
      </c>
      <c r="Q5" s="121">
        <v>12</v>
      </c>
      <c r="R5" s="121">
        <v>27</v>
      </c>
      <c r="S5" s="121">
        <v>10</v>
      </c>
      <c r="T5" s="121">
        <v>3</v>
      </c>
      <c r="U5" s="121">
        <v>31</v>
      </c>
      <c r="V5" s="121">
        <v>33</v>
      </c>
      <c r="W5" s="121">
        <v>12</v>
      </c>
      <c r="X5" s="121">
        <v>10</v>
      </c>
      <c r="Y5" s="121">
        <v>28</v>
      </c>
      <c r="Z5" s="122">
        <v>20</v>
      </c>
      <c r="AA5" s="121">
        <f t="shared" si="0"/>
        <v>-28.57142857142857</v>
      </c>
      <c r="AB5" s="121">
        <f t="shared" si="1"/>
        <v>-39.39393939393939</v>
      </c>
      <c r="AD5" s="121">
        <v>71</v>
      </c>
      <c r="AE5" s="122">
        <v>83</v>
      </c>
      <c r="AF5" s="121">
        <f>IF(AND(AE5=0,AD5=0),0,IF(OR(AND(AE5&gt;0,AD5&lt;=0),AND(AE5&lt;0,AD5&gt;=0)),"nm",IF(AND(AE5&lt;0,AD5&lt;0),IF(-(AE5/AD5-1)*100&lt;-100,"(&gt;100)",-(AE5/AD5-1)*100),IF((AE5/AD5-1)*100&gt;100,"&gt;100",(AE5/AD5-1)*100))))</f>
        <v>16.901408450704224</v>
      </c>
    </row>
    <row r="6" spans="2:32" ht="14.25">
      <c r="B6" s="101" t="s">
        <v>6</v>
      </c>
      <c r="C6" s="20"/>
      <c r="D6" s="121">
        <v>210</v>
      </c>
      <c r="E6" s="121">
        <v>336</v>
      </c>
      <c r="F6" s="121">
        <v>292</v>
      </c>
      <c r="G6" s="121">
        <v>290</v>
      </c>
      <c r="H6" s="121">
        <v>312</v>
      </c>
      <c r="J6" s="121">
        <v>80</v>
      </c>
      <c r="K6" s="121">
        <v>82</v>
      </c>
      <c r="L6" s="121">
        <v>91</v>
      </c>
      <c r="M6" s="121">
        <v>83</v>
      </c>
      <c r="N6" s="121">
        <v>82</v>
      </c>
      <c r="O6" s="121">
        <v>70</v>
      </c>
      <c r="P6" s="121">
        <v>74</v>
      </c>
      <c r="Q6" s="121">
        <v>66</v>
      </c>
      <c r="R6" s="121">
        <v>81</v>
      </c>
      <c r="S6" s="121">
        <v>67</v>
      </c>
      <c r="T6" s="121">
        <v>60</v>
      </c>
      <c r="U6" s="121">
        <v>82</v>
      </c>
      <c r="V6" s="121">
        <v>87</v>
      </c>
      <c r="W6" s="121">
        <v>70</v>
      </c>
      <c r="X6" s="121">
        <v>73</v>
      </c>
      <c r="Y6" s="121">
        <v>82</v>
      </c>
      <c r="Z6" s="122">
        <f>SUM(Z4:Z5)</f>
        <v>71</v>
      </c>
      <c r="AA6" s="121">
        <f t="shared" si="0"/>
        <v>-13.414634146341465</v>
      </c>
      <c r="AB6" s="121">
        <f t="shared" si="1"/>
        <v>-18.39080459770115</v>
      </c>
      <c r="AD6" s="121">
        <v>290</v>
      </c>
      <c r="AE6" s="122">
        <v>312</v>
      </c>
      <c r="AF6" s="121">
        <f aca="true" t="shared" si="2" ref="AF6:AF12">IF(AND(AE6=0,AD6=0),0,IF(OR(AND(AE6&gt;0,AD6&lt;=0),AND(AE6&lt;0,AD6&gt;=0)),"nm",IF(AND(AE6&lt;0,AD6&lt;0),IF(-(AE6/AD6-1)*100&lt;-100,"(&gt;100)",-(AE6/AD6-1)*100),IF((AE6/AD6-1)*100&gt;100,"&gt;100",(AE6/AD6-1)*100))))</f>
        <v>7.586206896551717</v>
      </c>
    </row>
    <row r="7" spans="2:32" ht="14.25">
      <c r="B7" s="101" t="s">
        <v>0</v>
      </c>
      <c r="C7" s="20"/>
      <c r="D7" s="121">
        <v>63</v>
      </c>
      <c r="E7" s="121">
        <v>50</v>
      </c>
      <c r="F7" s="121">
        <v>62</v>
      </c>
      <c r="G7" s="121">
        <v>65</v>
      </c>
      <c r="H7" s="121">
        <v>75</v>
      </c>
      <c r="J7" s="121">
        <v>12</v>
      </c>
      <c r="K7" s="121">
        <v>16</v>
      </c>
      <c r="L7" s="121">
        <v>13</v>
      </c>
      <c r="M7" s="121">
        <v>9</v>
      </c>
      <c r="N7" s="121">
        <v>14</v>
      </c>
      <c r="O7" s="121">
        <v>15</v>
      </c>
      <c r="P7" s="121">
        <v>18</v>
      </c>
      <c r="Q7" s="121">
        <v>15</v>
      </c>
      <c r="R7" s="121">
        <v>15</v>
      </c>
      <c r="S7" s="121">
        <v>16</v>
      </c>
      <c r="T7" s="121">
        <v>16</v>
      </c>
      <c r="U7" s="121">
        <v>18</v>
      </c>
      <c r="V7" s="121">
        <v>18</v>
      </c>
      <c r="W7" s="121">
        <v>19</v>
      </c>
      <c r="X7" s="121">
        <v>16</v>
      </c>
      <c r="Y7" s="121">
        <v>22</v>
      </c>
      <c r="Z7" s="122">
        <v>18</v>
      </c>
      <c r="AA7" s="121">
        <f t="shared" si="0"/>
        <v>-18.181818181818176</v>
      </c>
      <c r="AB7" s="121">
        <f t="shared" si="1"/>
        <v>0</v>
      </c>
      <c r="AD7" s="121">
        <v>65</v>
      </c>
      <c r="AE7" s="122">
        <v>75</v>
      </c>
      <c r="AF7" s="121">
        <f t="shared" si="2"/>
        <v>15.384615384615374</v>
      </c>
    </row>
    <row r="8" spans="2:32" ht="14.25">
      <c r="B8" s="101" t="s">
        <v>8</v>
      </c>
      <c r="C8" s="20"/>
      <c r="D8" s="121">
        <v>21</v>
      </c>
      <c r="E8" s="121">
        <v>142</v>
      </c>
      <c r="F8" s="121">
        <v>55</v>
      </c>
      <c r="G8" s="121">
        <v>42</v>
      </c>
      <c r="H8" s="121">
        <v>16</v>
      </c>
      <c r="J8" s="121">
        <v>54</v>
      </c>
      <c r="K8" s="121">
        <v>0</v>
      </c>
      <c r="L8" s="121">
        <v>0</v>
      </c>
      <c r="M8" s="121">
        <v>88</v>
      </c>
      <c r="N8" s="121">
        <v>53</v>
      </c>
      <c r="O8" s="121">
        <v>-8</v>
      </c>
      <c r="P8" s="121">
        <v>0</v>
      </c>
      <c r="Q8" s="121">
        <v>10</v>
      </c>
      <c r="R8" s="121">
        <v>3</v>
      </c>
      <c r="S8" s="121">
        <v>8</v>
      </c>
      <c r="T8" s="121">
        <v>23</v>
      </c>
      <c r="U8" s="121">
        <v>8</v>
      </c>
      <c r="V8" s="121">
        <v>10</v>
      </c>
      <c r="W8" s="121">
        <v>-10</v>
      </c>
      <c r="X8" s="121">
        <v>-10</v>
      </c>
      <c r="Y8" s="121">
        <v>26</v>
      </c>
      <c r="Z8" s="122">
        <v>67</v>
      </c>
      <c r="AA8" s="121" t="str">
        <f t="shared" si="0"/>
        <v>&gt;100</v>
      </c>
      <c r="AB8" s="121" t="str">
        <f t="shared" si="1"/>
        <v>&gt;100</v>
      </c>
      <c r="AD8" s="121">
        <v>42</v>
      </c>
      <c r="AE8" s="122">
        <v>16</v>
      </c>
      <c r="AF8" s="121">
        <f t="shared" si="2"/>
        <v>-61.904761904761905</v>
      </c>
    </row>
    <row r="9" spans="2:32" ht="14.25">
      <c r="B9" s="102" t="s">
        <v>67</v>
      </c>
      <c r="C9" s="20"/>
      <c r="D9" s="121">
        <v>0</v>
      </c>
      <c r="E9" s="121">
        <v>0</v>
      </c>
      <c r="F9" s="121">
        <v>0</v>
      </c>
      <c r="G9" s="121">
        <v>0</v>
      </c>
      <c r="H9" s="121">
        <v>0</v>
      </c>
      <c r="J9" s="121">
        <v>0</v>
      </c>
      <c r="K9" s="121">
        <v>0</v>
      </c>
      <c r="L9" s="121">
        <v>0</v>
      </c>
      <c r="M9" s="121">
        <v>0</v>
      </c>
      <c r="N9" s="121">
        <v>0</v>
      </c>
      <c r="O9" s="121">
        <v>0</v>
      </c>
      <c r="P9" s="121">
        <v>0</v>
      </c>
      <c r="Q9" s="121">
        <v>0</v>
      </c>
      <c r="R9" s="121">
        <v>0</v>
      </c>
      <c r="S9" s="121">
        <v>0</v>
      </c>
      <c r="T9" s="121">
        <v>0</v>
      </c>
      <c r="U9" s="121">
        <v>0</v>
      </c>
      <c r="V9" s="121">
        <v>0</v>
      </c>
      <c r="W9" s="121">
        <v>0</v>
      </c>
      <c r="X9" s="121">
        <v>0</v>
      </c>
      <c r="Y9" s="121">
        <v>0</v>
      </c>
      <c r="Z9" s="122">
        <v>0</v>
      </c>
      <c r="AA9" s="121">
        <f t="shared" si="0"/>
        <v>0</v>
      </c>
      <c r="AB9" s="121">
        <f t="shared" si="1"/>
        <v>0</v>
      </c>
      <c r="AD9" s="121">
        <v>0</v>
      </c>
      <c r="AE9" s="122">
        <v>0</v>
      </c>
      <c r="AF9" s="121">
        <f t="shared" si="2"/>
        <v>0</v>
      </c>
    </row>
    <row r="10" spans="2:32" ht="14.25">
      <c r="B10" s="102" t="s">
        <v>9</v>
      </c>
      <c r="C10" s="20"/>
      <c r="D10" s="121">
        <v>126</v>
      </c>
      <c r="E10" s="121">
        <v>144</v>
      </c>
      <c r="F10" s="121">
        <v>175</v>
      </c>
      <c r="G10" s="121">
        <v>183</v>
      </c>
      <c r="H10" s="121">
        <v>221</v>
      </c>
      <c r="J10" s="121">
        <v>14</v>
      </c>
      <c r="K10" s="121">
        <v>66</v>
      </c>
      <c r="L10" s="121">
        <v>78</v>
      </c>
      <c r="M10" s="121">
        <v>-14</v>
      </c>
      <c r="N10" s="121">
        <v>15</v>
      </c>
      <c r="O10" s="121">
        <v>63</v>
      </c>
      <c r="P10" s="121">
        <v>56</v>
      </c>
      <c r="Q10" s="121">
        <v>41</v>
      </c>
      <c r="R10" s="121">
        <v>63</v>
      </c>
      <c r="S10" s="121">
        <v>43</v>
      </c>
      <c r="T10" s="121">
        <v>21</v>
      </c>
      <c r="U10" s="121">
        <v>56</v>
      </c>
      <c r="V10" s="121">
        <v>59</v>
      </c>
      <c r="W10" s="121">
        <v>61</v>
      </c>
      <c r="X10" s="121">
        <v>67</v>
      </c>
      <c r="Y10" s="121">
        <v>34</v>
      </c>
      <c r="Z10" s="122">
        <v>-14</v>
      </c>
      <c r="AA10" s="121" t="str">
        <f t="shared" si="0"/>
        <v>nm</v>
      </c>
      <c r="AB10" s="121" t="str">
        <f t="shared" si="1"/>
        <v>nm</v>
      </c>
      <c r="AD10" s="121">
        <v>183</v>
      </c>
      <c r="AE10" s="122">
        <v>221</v>
      </c>
      <c r="AF10" s="121">
        <f t="shared" si="2"/>
        <v>20.76502732240437</v>
      </c>
    </row>
    <row r="11" spans="2:32" ht="14.25">
      <c r="B11" s="102" t="s">
        <v>68</v>
      </c>
      <c r="C11" s="20"/>
      <c r="D11" s="121">
        <v>60</v>
      </c>
      <c r="E11" s="121">
        <v>24</v>
      </c>
      <c r="F11" s="121">
        <v>42</v>
      </c>
      <c r="G11" s="121">
        <v>59</v>
      </c>
      <c r="H11" s="121">
        <v>60</v>
      </c>
      <c r="J11" s="121">
        <v>13</v>
      </c>
      <c r="K11" s="121">
        <v>16</v>
      </c>
      <c r="L11" s="121">
        <v>17</v>
      </c>
      <c r="M11" s="121">
        <v>-22</v>
      </c>
      <c r="N11" s="121">
        <v>4</v>
      </c>
      <c r="O11" s="121">
        <v>15</v>
      </c>
      <c r="P11" s="121">
        <v>8</v>
      </c>
      <c r="Q11" s="121">
        <v>15</v>
      </c>
      <c r="R11" s="121">
        <v>16</v>
      </c>
      <c r="S11" s="121">
        <v>15</v>
      </c>
      <c r="T11" s="121">
        <v>7</v>
      </c>
      <c r="U11" s="121">
        <v>21</v>
      </c>
      <c r="V11" s="121">
        <v>14</v>
      </c>
      <c r="W11" s="121">
        <v>16</v>
      </c>
      <c r="X11" s="121">
        <v>14</v>
      </c>
      <c r="Y11" s="121">
        <v>16</v>
      </c>
      <c r="Z11" s="122">
        <v>5</v>
      </c>
      <c r="AA11" s="121">
        <f t="shared" si="0"/>
        <v>-68.75</v>
      </c>
      <c r="AB11" s="121">
        <f t="shared" si="1"/>
        <v>-64.28571428571428</v>
      </c>
      <c r="AD11" s="121">
        <v>59</v>
      </c>
      <c r="AE11" s="122">
        <v>60</v>
      </c>
      <c r="AF11" s="121">
        <f t="shared" si="2"/>
        <v>1.6949152542372836</v>
      </c>
    </row>
    <row r="12" spans="2:32" ht="14.25">
      <c r="B12" s="102" t="s">
        <v>53</v>
      </c>
      <c r="C12" s="20"/>
      <c r="D12" s="121">
        <v>66</v>
      </c>
      <c r="E12" s="121">
        <v>120</v>
      </c>
      <c r="F12" s="121">
        <v>133</v>
      </c>
      <c r="G12" s="121">
        <v>124</v>
      </c>
      <c r="H12" s="121">
        <v>161</v>
      </c>
      <c r="J12" s="121">
        <v>1</v>
      </c>
      <c r="K12" s="121">
        <v>50</v>
      </c>
      <c r="L12" s="121">
        <v>61</v>
      </c>
      <c r="M12" s="121">
        <v>8</v>
      </c>
      <c r="N12" s="121">
        <v>11</v>
      </c>
      <c r="O12" s="121">
        <v>48</v>
      </c>
      <c r="P12" s="121">
        <v>48</v>
      </c>
      <c r="Q12" s="121">
        <v>26</v>
      </c>
      <c r="R12" s="121">
        <v>47</v>
      </c>
      <c r="S12" s="121">
        <v>28</v>
      </c>
      <c r="T12" s="121">
        <v>14</v>
      </c>
      <c r="U12" s="121">
        <v>35</v>
      </c>
      <c r="V12" s="121">
        <v>45</v>
      </c>
      <c r="W12" s="121">
        <v>45</v>
      </c>
      <c r="X12" s="121">
        <v>53</v>
      </c>
      <c r="Y12" s="121">
        <v>18</v>
      </c>
      <c r="Z12" s="122">
        <v>-19</v>
      </c>
      <c r="AA12" s="121" t="str">
        <f t="shared" si="0"/>
        <v>nm</v>
      </c>
      <c r="AB12" s="121" t="str">
        <f t="shared" si="1"/>
        <v>nm</v>
      </c>
      <c r="AD12" s="121">
        <v>124</v>
      </c>
      <c r="AE12" s="122">
        <v>161</v>
      </c>
      <c r="AF12" s="121">
        <f t="shared" si="2"/>
        <v>29.838709677419352</v>
      </c>
    </row>
    <row r="13" spans="3:31" ht="14.25">
      <c r="C13" s="20"/>
      <c r="D13" s="121"/>
      <c r="H13" s="165"/>
      <c r="Z13" s="143"/>
      <c r="AD13" s="165"/>
      <c r="AE13" s="143"/>
    </row>
    <row r="14" spans="1:32" s="24" customFormat="1" ht="14.25" customHeight="1">
      <c r="A14" s="88" t="s">
        <v>108</v>
      </c>
      <c r="B14" s="31"/>
      <c r="D14" s="17"/>
      <c r="E14" s="17"/>
      <c r="F14" s="17"/>
      <c r="G14" s="17"/>
      <c r="H14" s="169"/>
      <c r="I14" s="17"/>
      <c r="J14" s="17"/>
      <c r="K14" s="17"/>
      <c r="L14" s="17"/>
      <c r="M14" s="17"/>
      <c r="N14" s="17"/>
      <c r="O14" s="17"/>
      <c r="P14" s="17"/>
      <c r="Q14" s="17"/>
      <c r="R14" s="17"/>
      <c r="S14" s="17"/>
      <c r="T14" s="17"/>
      <c r="U14" s="17"/>
      <c r="V14" s="17"/>
      <c r="W14" s="17"/>
      <c r="X14" s="17"/>
      <c r="Y14" s="17"/>
      <c r="Z14" s="144"/>
      <c r="AA14" s="17"/>
      <c r="AB14" s="17"/>
      <c r="AC14" s="17"/>
      <c r="AD14" s="169"/>
      <c r="AE14" s="144"/>
      <c r="AF14" s="17"/>
    </row>
    <row r="15" spans="2:32" ht="14.25">
      <c r="B15" s="101" t="s">
        <v>71</v>
      </c>
      <c r="C15" s="20"/>
      <c r="D15" s="121">
        <v>6663</v>
      </c>
      <c r="E15" s="121">
        <v>6562</v>
      </c>
      <c r="F15" s="121">
        <v>6041</v>
      </c>
      <c r="G15" s="121">
        <v>6908</v>
      </c>
      <c r="H15" s="121">
        <v>7857</v>
      </c>
      <c r="J15" s="121">
        <v>7630</v>
      </c>
      <c r="K15" s="121">
        <v>7254</v>
      </c>
      <c r="L15" s="121">
        <v>6319</v>
      </c>
      <c r="M15" s="121">
        <v>6562</v>
      </c>
      <c r="N15" s="121">
        <v>6983</v>
      </c>
      <c r="O15" s="121">
        <v>6441</v>
      </c>
      <c r="P15" s="121">
        <v>6000</v>
      </c>
      <c r="Q15" s="121">
        <v>6041</v>
      </c>
      <c r="R15" s="121">
        <v>6486</v>
      </c>
      <c r="S15" s="121">
        <v>5947</v>
      </c>
      <c r="T15" s="121">
        <v>6603</v>
      </c>
      <c r="U15" s="121">
        <v>6908</v>
      </c>
      <c r="V15" s="121">
        <v>7653</v>
      </c>
      <c r="W15" s="121">
        <v>7324</v>
      </c>
      <c r="X15" s="121">
        <v>6909</v>
      </c>
      <c r="Y15" s="121">
        <v>7857</v>
      </c>
      <c r="Z15" s="122">
        <v>7415</v>
      </c>
      <c r="AA15" s="121">
        <f>IF(AND(Z15=0,Y15=0),0,IF(OR(AND(Z15&gt;0,Y15&lt;=0),AND(Z15&lt;0,Y15&gt;=0)),"nm",IF(AND(Z15&lt;0,Y15&lt;0),IF(-(Z15/Y15-1)*100&lt;-100,"(&gt;100)",-(Z15/Y15-1)*100),IF((Z15/Y15-1)*100&gt;100,"&gt;100",(Z15/Y15-1)*100))))</f>
        <v>-5.6255568283059665</v>
      </c>
      <c r="AB15" s="121">
        <f>IF(AND(Z15=0,V15=0),0,IF(OR(AND(Z15&gt;0,V15&lt;=0),AND(Z15&lt;0,V15&gt;=0)),"nm",IF(AND(Z15&lt;0,V15&lt;0),IF(-(Z15/V15-1)*100&lt;-100,"(&gt;100)",-(Z15/V15-1)*100),IF((Z15/V15-1)*100&gt;100,"&gt;100",(Z15/V15-1)*100))))</f>
        <v>-3.1098915457990373</v>
      </c>
      <c r="AD15" s="121">
        <v>6908</v>
      </c>
      <c r="AE15" s="122">
        <v>7857</v>
      </c>
      <c r="AF15" s="121">
        <f>IF(AND(AE15=0,AD15=0),0,IF(OR(AND(AE15&gt;0,AD15&lt;=0),AND(AE15&lt;0,AD15&gt;=0)),"nm",IF(AND(AE15&lt;0,AD15&lt;0),IF(-(AE15/AD15-1)*100&lt;-100,"(&gt;100)",-(AE15/AD15-1)*100),IF((AE15/AD15-1)*100&gt;100,"&gt;100",(AE15/AD15-1)*100))))</f>
        <v>13.737695425593511</v>
      </c>
    </row>
    <row r="16" spans="2:32" ht="14.25">
      <c r="B16" s="101" t="s">
        <v>72</v>
      </c>
      <c r="C16" s="20"/>
      <c r="D16" s="121">
        <v>10168</v>
      </c>
      <c r="E16" s="121">
        <v>12387</v>
      </c>
      <c r="F16" s="121">
        <v>11863</v>
      </c>
      <c r="G16" s="121">
        <v>12669</v>
      </c>
      <c r="H16" s="121">
        <v>13799</v>
      </c>
      <c r="J16" s="121">
        <v>12918</v>
      </c>
      <c r="K16" s="121">
        <v>13756</v>
      </c>
      <c r="L16" s="121">
        <v>12841</v>
      </c>
      <c r="M16" s="121">
        <v>12387</v>
      </c>
      <c r="N16" s="121">
        <v>13081</v>
      </c>
      <c r="O16" s="121">
        <v>13119</v>
      </c>
      <c r="P16" s="121">
        <v>11886</v>
      </c>
      <c r="Q16" s="121">
        <v>11863</v>
      </c>
      <c r="R16" s="121">
        <v>12730</v>
      </c>
      <c r="S16" s="121">
        <v>12492</v>
      </c>
      <c r="T16" s="121">
        <v>12668</v>
      </c>
      <c r="U16" s="121">
        <v>12669</v>
      </c>
      <c r="V16" s="121">
        <v>13762</v>
      </c>
      <c r="W16" s="121">
        <v>12492</v>
      </c>
      <c r="X16" s="121">
        <v>12544</v>
      </c>
      <c r="Y16" s="121">
        <v>13799</v>
      </c>
      <c r="Z16" s="122">
        <v>13032</v>
      </c>
      <c r="AA16" s="121">
        <f>IF(AND(Z16=0,Y16=0),0,IF(OR(AND(Z16&gt;0,Y16&lt;=0),AND(Z16&lt;0,Y16&gt;=0)),"nm",IF(AND(Z16&lt;0,Y16&lt;0),IF(-(Z16/Y16-1)*100&lt;-100,"(&gt;100)",-(Z16/Y16-1)*100),IF((Z16/Y16-1)*100&gt;100,"&gt;100",(Z16/Y16-1)*100))))</f>
        <v>-5.558373795202554</v>
      </c>
      <c r="AB16" s="121">
        <f>IF(AND(Z16=0,V16=0),0,IF(OR(AND(Z16&gt;0,V16&lt;=0),AND(Z16&lt;0,V16&gt;=0)),"nm",IF(AND(Z16&lt;0,V16&lt;0),IF(-(Z16/V16-1)*100&lt;-100,"(&gt;100)",-(Z16/V16-1)*100),IF((Z16/V16-1)*100&gt;100,"&gt;100",(Z16/V16-1)*100))))</f>
        <v>-5.304461560819651</v>
      </c>
      <c r="AD16" s="121">
        <v>12669</v>
      </c>
      <c r="AE16" s="122">
        <f>Z16</f>
        <v>13032</v>
      </c>
      <c r="AF16" s="121">
        <f>IF(AND(AE16=0,AD16=0),0,IF(OR(AND(AE16&gt;0,AD16&lt;=0),AND(AE16&lt;0,AD16&gt;=0)),"nm",IF(AND(AE16&lt;0,AD16&lt;0),IF(-(AE16/AD16-1)*100&lt;-100,"(&gt;100)",-(AE16/AD16-1)*100),IF((AE16/AD16-1)*100&gt;100,"&gt;100",(AE16/AD16-1)*100))))</f>
        <v>2.865261662325369</v>
      </c>
    </row>
    <row r="17" spans="2:32" ht="14.25">
      <c r="B17" s="101" t="s">
        <v>10</v>
      </c>
      <c r="C17" s="20"/>
      <c r="D17" s="121">
        <v>10168</v>
      </c>
      <c r="E17" s="121">
        <v>12387</v>
      </c>
      <c r="F17" s="121">
        <v>11863</v>
      </c>
      <c r="G17" s="121">
        <v>12669</v>
      </c>
      <c r="H17" s="121">
        <v>13799</v>
      </c>
      <c r="J17" s="121">
        <v>12918</v>
      </c>
      <c r="K17" s="121">
        <v>13756</v>
      </c>
      <c r="L17" s="121">
        <v>12841</v>
      </c>
      <c r="M17" s="121">
        <v>12387</v>
      </c>
      <c r="N17" s="121">
        <v>13081</v>
      </c>
      <c r="O17" s="121">
        <v>13119</v>
      </c>
      <c r="P17" s="121">
        <v>11886</v>
      </c>
      <c r="Q17" s="121">
        <v>11863</v>
      </c>
      <c r="R17" s="121">
        <v>12730</v>
      </c>
      <c r="S17" s="121">
        <v>12492</v>
      </c>
      <c r="T17" s="121">
        <v>12668</v>
      </c>
      <c r="U17" s="121">
        <v>12669</v>
      </c>
      <c r="V17" s="121">
        <v>13762</v>
      </c>
      <c r="W17" s="121">
        <v>12492</v>
      </c>
      <c r="X17" s="121">
        <v>12544</v>
      </c>
      <c r="Y17" s="121">
        <v>13799</v>
      </c>
      <c r="Z17" s="122">
        <f>Z16</f>
        <v>13032</v>
      </c>
      <c r="AA17" s="121">
        <f>IF(AND(Z17=0,Y17=0),0,IF(OR(AND(Z17&gt;0,Y17&lt;=0),AND(Z17&lt;0,Y17&gt;=0)),"nm",IF(AND(Z17&lt;0,Y17&lt;0),IF(-(Z17/Y17-1)*100&lt;-100,"(&gt;100)",-(Z17/Y17-1)*100),IF((Z17/Y17-1)*100&gt;100,"&gt;100",(Z17/Y17-1)*100))))</f>
        <v>-5.558373795202554</v>
      </c>
      <c r="AB17" s="121">
        <f>IF(AND(Z17=0,V17=0),0,IF(OR(AND(Z17&gt;0,V17&lt;=0),AND(Z17&lt;0,V17&gt;=0)),"nm",IF(AND(Z17&lt;0,V17&lt;0),IF(-(Z17/V17-1)*100&lt;-100,"(&gt;100)",-(Z17/V17-1)*100),IF((Z17/V17-1)*100&gt;100,"&gt;100",(Z17/V17-1)*100))))</f>
        <v>-5.304461560819651</v>
      </c>
      <c r="AD17" s="121">
        <v>12669</v>
      </c>
      <c r="AE17" s="122">
        <f>Z17</f>
        <v>13032</v>
      </c>
      <c r="AF17" s="121">
        <f>IF(AND(AE17=0,AD17=0),0,IF(OR(AND(AE17&gt;0,AD17&lt;=0),AND(AE17&lt;0,AD17&gt;=0)),"nm",IF(AND(AE17&lt;0,AD17&lt;0),IF(-(AE17/AD17-1)*100&lt;-100,"(&gt;100)",-(AE17/AD17-1)*100),IF((AE17/AD17-1)*100&gt;100,"&gt;100",(AE17/AD17-1)*100))))</f>
        <v>2.865261662325369</v>
      </c>
    </row>
    <row r="18" spans="3:4" ht="14.25">
      <c r="C18" s="20"/>
      <c r="D18" s="121"/>
    </row>
    <row r="19" spans="4:31" ht="14.25">
      <c r="D19" s="121"/>
      <c r="Z19" s="364"/>
      <c r="AE19" s="364"/>
    </row>
    <row r="20" spans="4:31" ht="14.25">
      <c r="D20" s="121"/>
      <c r="Z20" s="364"/>
      <c r="AE20" s="364"/>
    </row>
    <row r="21" ht="14.25">
      <c r="AE21" s="364"/>
    </row>
    <row r="22" ht="14.25">
      <c r="AE22" s="364"/>
    </row>
    <row r="23" ht="14.25">
      <c r="AE23" s="364"/>
    </row>
    <row r="24" ht="14.25">
      <c r="AE24" s="364"/>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portrait" scale="90" r:id="rId1"/>
  <headerFooter alignWithMargins="0">
    <oddFooter>&amp;L&amp;Z&amp;F&amp;A&amp;R&amp;D&amp;T</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S172"/>
  <sheetViews>
    <sheetView zoomScale="80" zoomScaleNormal="80" zoomScaleSheetLayoutView="80" zoomScalePageLayoutView="0" workbookViewId="0" topLeftCell="A1">
      <pane ySplit="5" topLeftCell="A14" activePane="bottomLeft" state="frozen"/>
      <selection pane="topLeft" activeCell="P25" sqref="P25"/>
      <selection pane="bottomLeft" activeCell="I8" sqref="I8"/>
    </sheetView>
  </sheetViews>
  <sheetFormatPr defaultColWidth="9.140625" defaultRowHeight="12.75" outlineLevelCol="1"/>
  <cols>
    <col min="1" max="1" width="2.00390625" style="0" customWidth="1"/>
    <col min="2" max="2" width="47.00390625" style="0" customWidth="1"/>
    <col min="3" max="4" width="10.7109375" style="226" customWidth="1"/>
    <col min="5" max="5" width="10.7109375" style="253" customWidth="1"/>
    <col min="6" max="6" width="10.7109375" style="226" customWidth="1"/>
    <col min="7" max="8" width="10.7109375" style="226" hidden="1" customWidth="1" outlineLevel="1"/>
    <col min="9" max="9" width="10.7109375" style="253" customWidth="1" collapsed="1"/>
    <col min="10" max="10" width="13.7109375" style="241" hidden="1" customWidth="1"/>
    <col min="11" max="11" width="12.140625" style="241" hidden="1" customWidth="1"/>
    <col min="12" max="12" width="10.7109375" style="241" hidden="1" customWidth="1"/>
    <col min="15" max="15" width="11.28125" style="0" bestFit="1" customWidth="1"/>
  </cols>
  <sheetData>
    <row r="1" spans="1:19" s="42" customFormat="1" ht="20.25">
      <c r="A1" s="41" t="s">
        <v>328</v>
      </c>
      <c r="D1" s="219"/>
      <c r="E1" s="245"/>
      <c r="F1" s="43"/>
      <c r="G1" s="43"/>
      <c r="H1" s="43"/>
      <c r="I1" s="284"/>
      <c r="J1" s="256"/>
      <c r="K1" s="43"/>
      <c r="L1" s="256"/>
      <c r="M1" s="43"/>
      <c r="N1" s="43"/>
      <c r="O1" s="43"/>
      <c r="P1" s="43"/>
      <c r="Q1" s="43"/>
      <c r="R1" s="43"/>
      <c r="S1" s="43"/>
    </row>
    <row r="2" spans="1:19" s="44" customFormat="1" ht="15">
      <c r="A2" s="515" t="s">
        <v>80</v>
      </c>
      <c r="B2" s="515"/>
      <c r="C2" s="515"/>
      <c r="E2" s="246"/>
      <c r="I2" s="285"/>
      <c r="J2" s="258"/>
      <c r="L2" s="258"/>
      <c r="N2" s="45"/>
      <c r="O2" s="45"/>
      <c r="S2" s="45"/>
    </row>
    <row r="3" spans="1:12" ht="15" thickBot="1">
      <c r="A3" s="80"/>
      <c r="B3" s="80"/>
      <c r="C3" s="108"/>
      <c r="D3" s="108"/>
      <c r="E3" s="247"/>
      <c r="F3" s="108"/>
      <c r="G3" s="108"/>
      <c r="H3" s="108"/>
      <c r="I3" s="286"/>
      <c r="J3" s="67"/>
      <c r="K3" s="67"/>
      <c r="L3" s="67"/>
    </row>
    <row r="4" spans="2:12" s="67" customFormat="1" ht="15.75" customHeight="1" thickTop="1">
      <c r="B4" s="172"/>
      <c r="C4" s="520" t="s">
        <v>412</v>
      </c>
      <c r="D4" s="520" t="s">
        <v>389</v>
      </c>
      <c r="E4" s="248" t="s">
        <v>239</v>
      </c>
      <c r="F4" s="520" t="s">
        <v>395</v>
      </c>
      <c r="G4" s="520" t="s">
        <v>398</v>
      </c>
      <c r="H4" s="520" t="s">
        <v>389</v>
      </c>
      <c r="I4" s="287" t="s">
        <v>239</v>
      </c>
      <c r="J4" s="518" t="s">
        <v>401</v>
      </c>
      <c r="K4" s="518" t="s">
        <v>402</v>
      </c>
      <c r="L4" s="280" t="s">
        <v>239</v>
      </c>
    </row>
    <row r="5" spans="2:12" s="67" customFormat="1" ht="15.75" thickBot="1">
      <c r="B5" s="173" t="s">
        <v>238</v>
      </c>
      <c r="C5" s="522"/>
      <c r="D5" s="522"/>
      <c r="E5" s="249" t="s">
        <v>240</v>
      </c>
      <c r="F5" s="521"/>
      <c r="G5" s="522"/>
      <c r="H5" s="522"/>
      <c r="I5" s="288" t="s">
        <v>240</v>
      </c>
      <c r="J5" s="519"/>
      <c r="K5" s="519"/>
      <c r="L5" s="281" t="s">
        <v>240</v>
      </c>
    </row>
    <row r="6" spans="2:12" s="67" customFormat="1" ht="15.75" thickTop="1">
      <c r="B6" s="174"/>
      <c r="C6" s="227"/>
      <c r="D6" s="220"/>
      <c r="E6" s="283"/>
      <c r="F6" s="227"/>
      <c r="G6" s="227"/>
      <c r="H6" s="227"/>
      <c r="I6" s="254"/>
      <c r="J6" s="376"/>
      <c r="K6" s="175"/>
      <c r="L6" s="175"/>
    </row>
    <row r="7" spans="2:12" s="67" customFormat="1" ht="15">
      <c r="B7" s="176" t="s">
        <v>241</v>
      </c>
      <c r="C7" s="370"/>
      <c r="D7" s="107"/>
      <c r="E7" s="283"/>
      <c r="F7" s="107"/>
      <c r="G7" s="393"/>
      <c r="H7" s="393"/>
      <c r="I7" s="283"/>
      <c r="J7" s="377"/>
      <c r="K7" s="282"/>
      <c r="L7" s="421"/>
    </row>
    <row r="8" spans="2:15" s="67" customFormat="1" ht="15">
      <c r="B8" s="166" t="s">
        <v>23</v>
      </c>
      <c r="C8" s="426">
        <v>1920</v>
      </c>
      <c r="D8" s="317">
        <v>1870</v>
      </c>
      <c r="E8" s="463">
        <f>IF(AND(C8=0,D8=0),0,IF(OR(AND(C8&gt;0,D8&lt;=0),AND(C8&lt;0,D8&gt;=0)),"nm",IF(AND(C8&lt;0,D8&lt;0),IF(-(C8/D8-1)*100&lt;-100,"(&gt;100)",-(C8/D8-1)*100),IF((C8/D8-1)*100&gt;100,"&gt;100",(C8/D8-1)*100))))</f>
        <v>2.673796791443861</v>
      </c>
      <c r="F8" s="286">
        <v>1900</v>
      </c>
      <c r="G8" s="386">
        <v>1912</v>
      </c>
      <c r="H8" s="386">
        <v>1870</v>
      </c>
      <c r="I8" s="260">
        <f>IF(AND(C8=0,F8=0),0,IF(OR(AND(C8&gt;0,F8&lt;=0),AND(C8&lt;0,F8&gt;=0)),"nm",IF(AND(C8&lt;0,F8&lt;0),IF(-(C8/F8-1)*100&lt;-100,"(&gt;100)",-(C8/F8-1)*100),IF((C8/F8-1)*100&gt;100,"&gt;100",(C8/F8-1)*100))))</f>
        <v>1.0526315789473717</v>
      </c>
      <c r="J8" s="426">
        <v>7621</v>
      </c>
      <c r="K8" s="317">
        <v>6555</v>
      </c>
      <c r="L8" s="140">
        <f>IF(AND(J8=0,K8=0),0,IF(OR(AND(J8&gt;0,K8&lt;=0),AND(J8&lt;0,K8&gt;=0)),"nm",IF(AND(J8&lt;0,K8&lt;0),IF(-(J8/K8-1)*100&lt;-100,"(&gt;100)",-(J8/K8-1)*100),IF((J8/K8-1)*100&gt;100,"&gt;100",(J8/K8-1)*100))))</f>
        <v>16.262395118230355</v>
      </c>
      <c r="O8" s="286"/>
    </row>
    <row r="9" spans="2:15" s="67" customFormat="1" ht="15.75" thickBot="1">
      <c r="B9" s="166" t="s">
        <v>24</v>
      </c>
      <c r="C9" s="457">
        <v>593</v>
      </c>
      <c r="D9" s="318">
        <v>534</v>
      </c>
      <c r="E9" s="464">
        <f aca="true" t="shared" si="0" ref="E9:E15">IF(AND(C9=0,D9=0),0,IF(OR(AND(C9&gt;0,D9&lt;=0),AND(C9&lt;0,D9&gt;=0)),"nm",IF(AND(C9&lt;0,D9&lt;0),IF(-(C9/D9-1)*100&lt;-100,"(&gt;100)",-(C9/D9-1)*100),IF((C9/D9-1)*100&gt;100,"&gt;100",(C9/D9-1)*100))))</f>
        <v>11.048689138576773</v>
      </c>
      <c r="F9" s="484">
        <v>607</v>
      </c>
      <c r="G9" s="387">
        <v>588</v>
      </c>
      <c r="H9" s="387">
        <v>534</v>
      </c>
      <c r="I9" s="333">
        <f aca="true" t="shared" si="1" ref="I9:I15">IF(AND(C9=0,F9=0),0,IF(OR(AND(C9&gt;0,F9&lt;=0),AND(C9&lt;0,F9&gt;=0)),"nm",IF(AND(C9&lt;0,F9&lt;0),IF(-(C9/F9-1)*100&lt;-100,"(&gt;100)",-(C9/F9-1)*100),IF((C9/F9-1)*100&gt;100,"&gt;100",(C9/F9-1)*100))))</f>
        <v>-2.3064250411861664</v>
      </c>
      <c r="J9" s="457">
        <v>2336</v>
      </c>
      <c r="K9" s="318">
        <v>1730</v>
      </c>
      <c r="L9" s="335">
        <f aca="true" t="shared" si="2" ref="L9:L17">IF(AND(J9=0,K9=0),0,IF(OR(AND(J9&gt;0,K9&lt;=0),AND(J9&lt;0,K9&gt;=0)),"nm",IF(AND(J9&lt;0,K9&lt;0),IF(-(J9/K9-1)*100&lt;-100,"(&gt;100)",-(J9/K9-1)*100),IF((J9/K9-1)*100&gt;100,"&gt;100",(J9/K9-1)*100))))</f>
        <v>35.028901734104046</v>
      </c>
      <c r="O9" s="286"/>
    </row>
    <row r="10" spans="2:15" s="67" customFormat="1" ht="15">
      <c r="B10" s="166" t="s">
        <v>5</v>
      </c>
      <c r="C10" s="426">
        <f>C8-C9</f>
        <v>1327</v>
      </c>
      <c r="D10" s="317">
        <f>D8-D9</f>
        <v>1336</v>
      </c>
      <c r="E10" s="468">
        <f t="shared" si="0"/>
        <v>-0.6736526946107824</v>
      </c>
      <c r="F10" s="317">
        <f>F8-F9</f>
        <v>1293</v>
      </c>
      <c r="G10" s="386">
        <v>1324</v>
      </c>
      <c r="H10" s="386">
        <v>1336</v>
      </c>
      <c r="I10" s="260">
        <f t="shared" si="1"/>
        <v>2.629543696829084</v>
      </c>
      <c r="J10" s="426">
        <f>J8-J9</f>
        <v>5285</v>
      </c>
      <c r="K10" s="317">
        <v>4825</v>
      </c>
      <c r="L10" s="250">
        <f t="shared" si="2"/>
        <v>9.533678756476682</v>
      </c>
      <c r="O10" s="286"/>
    </row>
    <row r="11" spans="2:15" s="67" customFormat="1" ht="15">
      <c r="B11" s="166" t="s">
        <v>242</v>
      </c>
      <c r="C11" s="146">
        <v>507</v>
      </c>
      <c r="D11" s="315">
        <v>406</v>
      </c>
      <c r="E11" s="463">
        <f t="shared" si="0"/>
        <v>24.87684729064039</v>
      </c>
      <c r="F11" s="286">
        <v>372</v>
      </c>
      <c r="G11" s="388">
        <v>379</v>
      </c>
      <c r="H11" s="388">
        <v>406</v>
      </c>
      <c r="I11" s="260">
        <f t="shared" si="1"/>
        <v>36.29032258064515</v>
      </c>
      <c r="J11" s="426">
        <v>1579</v>
      </c>
      <c r="K11" s="317">
        <v>1542</v>
      </c>
      <c r="L11" s="250">
        <f t="shared" si="2"/>
        <v>2.399481193255504</v>
      </c>
      <c r="O11" s="286"/>
    </row>
    <row r="12" spans="2:15" s="67" customFormat="1" ht="15">
      <c r="B12" s="166" t="s">
        <v>322</v>
      </c>
      <c r="C12" s="146">
        <v>410</v>
      </c>
      <c r="D12" s="315">
        <v>325</v>
      </c>
      <c r="E12" s="314">
        <f t="shared" si="0"/>
        <v>26.15384615384615</v>
      </c>
      <c r="F12" s="286">
        <v>136</v>
      </c>
      <c r="G12" s="315">
        <v>139</v>
      </c>
      <c r="H12" s="315">
        <v>325</v>
      </c>
      <c r="I12" s="250" t="str">
        <f t="shared" si="1"/>
        <v>&gt;100</v>
      </c>
      <c r="J12" s="146">
        <v>737</v>
      </c>
      <c r="K12" s="315">
        <v>698</v>
      </c>
      <c r="L12" s="250">
        <f t="shared" si="2"/>
        <v>5.587392550143266</v>
      </c>
      <c r="O12" s="286"/>
    </row>
    <row r="13" spans="2:15" s="67" customFormat="1" ht="29.25">
      <c r="B13" s="166" t="s">
        <v>371</v>
      </c>
      <c r="C13" s="423">
        <v>-2</v>
      </c>
      <c r="D13" s="250">
        <v>-33</v>
      </c>
      <c r="E13" s="465">
        <f t="shared" si="0"/>
        <v>93.93939393939394</v>
      </c>
      <c r="F13" s="286">
        <v>-2</v>
      </c>
      <c r="G13" s="250">
        <v>-6</v>
      </c>
      <c r="H13" s="250">
        <v>-33</v>
      </c>
      <c r="I13" s="250">
        <f t="shared" si="1"/>
        <v>0</v>
      </c>
      <c r="J13" s="423">
        <v>-48</v>
      </c>
      <c r="K13" s="250">
        <v>-18</v>
      </c>
      <c r="L13" s="250" t="str">
        <f t="shared" si="2"/>
        <v>(&gt;100)</v>
      </c>
      <c r="O13" s="286"/>
    </row>
    <row r="14" spans="2:15" s="67" customFormat="1" ht="15">
      <c r="B14" s="166" t="s">
        <v>243</v>
      </c>
      <c r="C14" s="146">
        <v>66</v>
      </c>
      <c r="D14" s="315">
        <v>109</v>
      </c>
      <c r="E14" s="314">
        <f t="shared" si="0"/>
        <v>-39.449541284403665</v>
      </c>
      <c r="F14" s="286">
        <v>103</v>
      </c>
      <c r="G14" s="315">
        <v>97</v>
      </c>
      <c r="H14" s="315">
        <v>109</v>
      </c>
      <c r="I14" s="250">
        <f t="shared" si="1"/>
        <v>-35.922330097087375</v>
      </c>
      <c r="J14" s="146">
        <v>419</v>
      </c>
      <c r="K14" s="315">
        <v>454</v>
      </c>
      <c r="L14" s="250">
        <f t="shared" si="2"/>
        <v>-7.70925110132159</v>
      </c>
      <c r="O14" s="286"/>
    </row>
    <row r="15" spans="2:15" s="67" customFormat="1" ht="15">
      <c r="B15" s="166" t="s">
        <v>26</v>
      </c>
      <c r="C15" s="146">
        <v>9</v>
      </c>
      <c r="D15" s="315">
        <v>13</v>
      </c>
      <c r="E15" s="465">
        <f t="shared" si="0"/>
        <v>-30.76923076923077</v>
      </c>
      <c r="F15" s="286">
        <v>507</v>
      </c>
      <c r="G15" s="315">
        <v>12</v>
      </c>
      <c r="H15" s="315">
        <v>13</v>
      </c>
      <c r="I15" s="250">
        <f t="shared" si="1"/>
        <v>-98.22485207100591</v>
      </c>
      <c r="J15" s="146">
        <v>542</v>
      </c>
      <c r="K15" s="315">
        <v>130</v>
      </c>
      <c r="L15" s="250" t="str">
        <f t="shared" si="2"/>
        <v>&gt;100</v>
      </c>
      <c r="O15" s="286"/>
    </row>
    <row r="16" spans="2:15" s="67" customFormat="1" ht="15.75" thickBot="1">
      <c r="B16" s="176"/>
      <c r="C16" s="457"/>
      <c r="D16" s="316"/>
      <c r="E16" s="314"/>
      <c r="F16" s="318"/>
      <c r="G16" s="316"/>
      <c r="H16" s="316"/>
      <c r="I16" s="250"/>
      <c r="J16" s="316"/>
      <c r="K16" s="316"/>
      <c r="L16" s="250"/>
      <c r="O16" s="286"/>
    </row>
    <row r="17" spans="2:15" s="67" customFormat="1" ht="15.75" thickBot="1">
      <c r="B17" s="166" t="s">
        <v>6</v>
      </c>
      <c r="C17" s="458">
        <f>SUM(C10:C15)</f>
        <v>2317</v>
      </c>
      <c r="D17" s="334">
        <f>SUM(D10:D15)</f>
        <v>2156</v>
      </c>
      <c r="E17" s="466">
        <f>IF(AND(C17=0,D17=0),0,IF(OR(AND(C17&gt;0,D17&lt;=0),AND(C17&lt;0,D17&gt;=0)),"nm",IF(AND(C17&lt;0,D17&lt;0),IF(-(C17/D17-1)*100&lt;-100,"(&gt;100)",-(C17/D17-1)*100),IF((C17/D17-1)*100&gt;100,"&gt;100",(C17/D17-1)*100))))</f>
        <v>7.467532467532467</v>
      </c>
      <c r="F17" s="334">
        <f>SUM(F10:F15)</f>
        <v>2409</v>
      </c>
      <c r="G17" s="334">
        <v>1945</v>
      </c>
      <c r="H17" s="334">
        <v>2156</v>
      </c>
      <c r="I17" s="467">
        <f>IF(AND(C17=0,F17=0),0,IF(OR(AND(C17&gt;0,F17&lt;=0),AND(C17&lt;0,F17&gt;=0)),"nm",IF(AND(C17&lt;0,F17&lt;0),IF(-(C17/F17-1)*100&lt;-100,"(&gt;100)",-(C17/F17-1)*100),IF((C17/F17-1)*100&gt;100,"&gt;100",(C17/F17-1)*100))))</f>
        <v>-3.819012038190117</v>
      </c>
      <c r="J17" s="458">
        <f>SUM(J10:J15)</f>
        <v>8514</v>
      </c>
      <c r="K17" s="334">
        <v>7631</v>
      </c>
      <c r="L17" s="459">
        <f t="shared" si="2"/>
        <v>11.571222644476475</v>
      </c>
      <c r="O17" s="286"/>
    </row>
    <row r="18" spans="2:15" s="67" customFormat="1" ht="15">
      <c r="B18" s="166"/>
      <c r="C18" s="426"/>
      <c r="D18" s="353"/>
      <c r="E18" s="314"/>
      <c r="F18" s="317"/>
      <c r="G18" s="315"/>
      <c r="H18" s="315"/>
      <c r="I18" s="250"/>
      <c r="J18" s="315"/>
      <c r="K18" s="315"/>
      <c r="L18" s="250"/>
      <c r="O18" s="286"/>
    </row>
    <row r="19" spans="2:15" s="67" customFormat="1" ht="15">
      <c r="B19" s="176" t="s">
        <v>0</v>
      </c>
      <c r="C19" s="426"/>
      <c r="D19" s="353"/>
      <c r="E19" s="314"/>
      <c r="F19" s="317"/>
      <c r="G19" s="315"/>
      <c r="H19" s="315"/>
      <c r="I19" s="250"/>
      <c r="J19" s="315"/>
      <c r="K19" s="315"/>
      <c r="L19" s="250"/>
      <c r="O19" s="286"/>
    </row>
    <row r="20" spans="2:15" s="67" customFormat="1" ht="15">
      <c r="B20" s="166" t="s">
        <v>244</v>
      </c>
      <c r="C20" s="146">
        <v>506</v>
      </c>
      <c r="D20" s="315">
        <v>485</v>
      </c>
      <c r="E20" s="314">
        <f>IF(AND(C20=0,D20=0),0,IF(OR(AND(C20&gt;0,D20&lt;=0),AND(C20&lt;0,D20&gt;=0)),"nm",IF(AND(C20&lt;0,D20&lt;0),IF(-(C20/D20-1)*100&lt;-100,"(&gt;100)",-(C20/D20-1)*100),IF((C20/D20-1)*100&gt;100,"&gt;100",(C20/D20-1)*100))))</f>
        <v>4.329896907216502</v>
      </c>
      <c r="F20" s="286">
        <v>455</v>
      </c>
      <c r="G20" s="315">
        <v>466</v>
      </c>
      <c r="H20" s="315">
        <v>485</v>
      </c>
      <c r="I20" s="250">
        <f>IF(AND(C20=0,F20=0),0,IF(OR(AND(C20&gt;0,F20&lt;=0),AND(C20&lt;0,F20&gt;=0)),"nm",IF(AND(C20&lt;0,F20&lt;0),IF(-(C20/F20-1)*100&lt;-100,"(&gt;100)",-(C20/F20-1)*100),IF((C20/F20-1)*100&gt;100,"&gt;100",(C20/F20-1)*100))))</f>
        <v>11.208791208791213</v>
      </c>
      <c r="J20" s="426">
        <v>1888</v>
      </c>
      <c r="K20" s="250">
        <v>1712</v>
      </c>
      <c r="L20" s="250">
        <f>IF(AND(J20=0,K20=0),0,IF(OR(AND(J20&gt;0,K20&lt;=0),AND(J20&lt;0,K20&gt;=0)),"nm",IF(AND(J20&lt;0,K20&lt;0),IF(-(J20/K20-1)*100&lt;-100,"(&gt;100)",-(J20/K20-1)*100),IF((J20/K20-1)*100&gt;100,"&gt;100",(J20/K20-1)*100))))</f>
        <v>10.280373831775691</v>
      </c>
      <c r="O20" s="286"/>
    </row>
    <row r="21" spans="2:15" s="67" customFormat="1" ht="15">
      <c r="B21" s="166" t="s">
        <v>246</v>
      </c>
      <c r="C21" s="146">
        <v>446</v>
      </c>
      <c r="D21" s="315">
        <v>413</v>
      </c>
      <c r="E21" s="465">
        <f>IF(AND(C21=0,D21=0),0,IF(OR(AND(C21&gt;0,D21&lt;=0),AND(C21&lt;0,D21&gt;=0)),"nm",IF(AND(C21&lt;0,D21&lt;0),IF(-(C21/D21-1)*100&lt;-100,"(&gt;100)",-(C21/D21-1)*100),IF((C21/D21-1)*100&gt;100,"&gt;100",(C21/D21-1)*100))))</f>
        <v>7.9903147699757815</v>
      </c>
      <c r="F21" s="286">
        <v>488</v>
      </c>
      <c r="G21" s="315">
        <v>406</v>
      </c>
      <c r="H21" s="315">
        <v>413</v>
      </c>
      <c r="I21" s="250">
        <f>IF(AND(C21=0,F21=0),0,IF(OR(AND(C21&gt;0,F21&lt;=0),AND(C21&lt;0,F21&gt;=0)),"nm",IF(AND(C21&lt;0,F21&lt;0),IF(-(C21/F21-1)*100&lt;-100,"(&gt;100)",-(C21/F21-1)*100),IF((C21/F21-1)*100&gt;100,"&gt;100",(C21/F21-1)*100))))</f>
        <v>-8.606557377049185</v>
      </c>
      <c r="J21" s="423">
        <v>1726</v>
      </c>
      <c r="K21" s="250">
        <v>1591</v>
      </c>
      <c r="L21" s="250">
        <f>IF(AND(J21=0,K21=0),0,IF(OR(AND(J21&gt;0,K21&lt;=0),AND(J21&lt;0,K21&gt;=0)),"nm",IF(AND(J21&lt;0,K21&lt;0),IF(-(J21/K21-1)*100&lt;-100,"(&gt;100)",-(J21/K21-1)*100),IF((J21/K21-1)*100&gt;100,"&gt;100",(J21/K21-1)*100))))</f>
        <v>8.48522941546197</v>
      </c>
      <c r="O21" s="286"/>
    </row>
    <row r="22" spans="2:15" s="67" customFormat="1" ht="15">
      <c r="B22" s="166" t="s">
        <v>8</v>
      </c>
      <c r="C22" s="146">
        <v>223</v>
      </c>
      <c r="D22" s="315">
        <v>144</v>
      </c>
      <c r="E22" s="465">
        <f>IF(AND(C22=0,D22=0),0,IF(OR(AND(C22&gt;0,D22&lt;=0),AND(C22&lt;0,D22&gt;=0)),"nm",IF(AND(C22&lt;0,D22&lt;0),IF(-(C22/D22-1)*100&lt;-100,"(&gt;100)",-(C22/D22-1)*100),IF((C22/D22-1)*100&gt;100,"&gt;100",(C22/D22-1)*100))))</f>
        <v>54.861111111111114</v>
      </c>
      <c r="F22" s="286">
        <v>114</v>
      </c>
      <c r="G22" s="315">
        <v>104</v>
      </c>
      <c r="H22" s="315">
        <v>144</v>
      </c>
      <c r="I22" s="250">
        <f>IF(AND(C22=0,F22=0),0,IF(OR(AND(C22&gt;0,F22&lt;=0),AND(C22&lt;0,F22&gt;=0)),"nm",IF(AND(C22&lt;0,F22&lt;0),IF(-(C22/F22-1)*100&lt;-100,"(&gt;100)",-(C22/F22-1)*100),IF((C22/F22-1)*100&gt;100,"&gt;100",(C22/F22-1)*100))))</f>
        <v>95.6140350877193</v>
      </c>
      <c r="J22" s="146">
        <v>417</v>
      </c>
      <c r="K22" s="250">
        <v>722</v>
      </c>
      <c r="L22" s="250">
        <f>IF(AND(J22=0,K22=0),0,IF(OR(AND(J22&gt;0,K22&lt;=0),AND(J22&lt;0,K22&gt;=0)),"nm",IF(AND(J22&lt;0,K22&lt;0),IF(-(J22/K22-1)*100&lt;-100,"(&gt;100)",-(J22/K22-1)*100),IF((J22/K22-1)*100&gt;100,"&gt;100",(J22/K22-1)*100))))</f>
        <v>-42.24376731301939</v>
      </c>
      <c r="O22" s="286"/>
    </row>
    <row r="23" spans="2:15" s="67" customFormat="1" ht="15.75" thickBot="1">
      <c r="B23" s="166"/>
      <c r="C23" s="457"/>
      <c r="D23" s="316"/>
      <c r="E23" s="319"/>
      <c r="F23" s="318"/>
      <c r="G23" s="316"/>
      <c r="H23" s="316"/>
      <c r="I23" s="250"/>
      <c r="J23" s="316"/>
      <c r="K23" s="316"/>
      <c r="L23" s="250"/>
      <c r="O23" s="286"/>
    </row>
    <row r="24" spans="2:15" s="67" customFormat="1" ht="15.75" thickBot="1">
      <c r="B24" s="166" t="s">
        <v>247</v>
      </c>
      <c r="C24" s="460">
        <f>SUM(C20:C22)</f>
        <v>1175</v>
      </c>
      <c r="D24" s="333">
        <f>SUM(D20:D22)</f>
        <v>1042</v>
      </c>
      <c r="E24" s="483">
        <f>IF(AND(C24=0,D24=0),0,IF(OR(AND(C24&gt;0,D24&lt;=0),AND(C24&lt;0,D24&gt;=0)),"nm",IF(AND(C24&lt;0,D24&lt;0),IF(-(C24/D24-1)*100&lt;-100,"(&gt;100)",-(C24/D24-1)*100),IF((C24/D24-1)*100&gt;100,"&gt;100",(C24/D24-1)*100))))</f>
        <v>12.763915547024961</v>
      </c>
      <c r="F24" s="333">
        <f>SUM(F20:F22)</f>
        <v>1057</v>
      </c>
      <c r="G24" s="333">
        <v>976</v>
      </c>
      <c r="H24" s="333">
        <v>1042</v>
      </c>
      <c r="I24" s="467">
        <f>IF(AND(C24=0,F24=0),0,IF(OR(AND(C24&gt;0,F24&lt;=0),AND(C24&lt;0,F24&gt;=0)),"nm",IF(AND(C24&lt;0,F24&lt;0),IF(-(C24/F24-1)*100&lt;-100,"(&gt;100)",-(C24/F24-1)*100),IF((C24/F24-1)*100&gt;100,"&gt;100",(C24/F24-1)*100))))</f>
        <v>11.163670766319767</v>
      </c>
      <c r="J24" s="460">
        <f>SUM(J20:J22)</f>
        <v>4031</v>
      </c>
      <c r="K24" s="333">
        <v>4025</v>
      </c>
      <c r="L24" s="462">
        <f>IF(AND(J24=0,K24=0),0,IF(OR(AND(J24&gt;0,K24&lt;=0),AND(J24&lt;0,K24&gt;=0)),"nm",IF(AND(J24&lt;0,K24&lt;0),IF(-(J24/K24-1)*100&lt;-100,"(&gt;100)",-(J24/K24-1)*100),IF((J24/K24-1)*100&gt;100,"&gt;100",(J24/K24-1)*100))))</f>
        <v>0.14906832298136052</v>
      </c>
      <c r="O24" s="286"/>
    </row>
    <row r="25" spans="2:15" s="67" customFormat="1" ht="15">
      <c r="B25" s="176"/>
      <c r="C25" s="426"/>
      <c r="D25" s="353"/>
      <c r="E25" s="314"/>
      <c r="F25" s="317"/>
      <c r="G25" s="315"/>
      <c r="H25" s="315"/>
      <c r="I25" s="250"/>
      <c r="J25" s="315"/>
      <c r="K25" s="315"/>
      <c r="L25" s="250"/>
      <c r="O25" s="286"/>
    </row>
    <row r="26" spans="2:15" s="67" customFormat="1" ht="15">
      <c r="B26" s="177"/>
      <c r="C26" s="426"/>
      <c r="D26" s="353"/>
      <c r="E26" s="314"/>
      <c r="F26" s="317"/>
      <c r="G26" s="250"/>
      <c r="H26" s="250"/>
      <c r="I26" s="250"/>
      <c r="J26" s="315"/>
      <c r="K26" s="315"/>
      <c r="L26" s="250"/>
      <c r="O26" s="286"/>
    </row>
    <row r="27" spans="2:15" s="67" customFormat="1" ht="15">
      <c r="B27" s="166" t="s">
        <v>353</v>
      </c>
      <c r="C27" s="423">
        <v>1142</v>
      </c>
      <c r="D27" s="250">
        <v>1114</v>
      </c>
      <c r="E27" s="314">
        <f>IF(AND(C27=0,D27=0),0,IF(OR(AND(C27&gt;0,D27&lt;=0),AND(C27&lt;0,D27&gt;=0)),"nm",IF(AND(C27&lt;0,D27&lt;0),IF(-(C27/D27-1)*100&lt;-100,"(&gt;100)",-(C27/D27-1)*100),IF((C27/D27-1)*100&gt;100,"&gt;100",(C27/D27-1)*100))))</f>
        <v>2.5134649910233398</v>
      </c>
      <c r="F27" s="286">
        <v>1352</v>
      </c>
      <c r="G27" s="250">
        <v>969</v>
      </c>
      <c r="H27" s="250">
        <v>1114</v>
      </c>
      <c r="I27" s="250">
        <f>IF(AND(C27=0,F27=0),0,IF(OR(AND(C27&gt;0,F27&lt;=0),AND(C27&lt;0,F27&gt;=0)),"nm",IF(AND(C27&lt;0,F27&lt;0),IF(-(C27/F27-1)*100&lt;-100,"(&gt;100)",-(C27/F27-1)*100),IF((C27/F27-1)*100&gt;100,"&gt;100",(C27/F27-1)*100))))</f>
        <v>-15.532544378698221</v>
      </c>
      <c r="J27" s="426">
        <f>J17-J24</f>
        <v>4483</v>
      </c>
      <c r="K27" s="317">
        <v>3606</v>
      </c>
      <c r="L27" s="250">
        <f>IF(AND(J27=0,K27=0),0,IF(OR(AND(J27&gt;0,K27&lt;=0),AND(J27&lt;0,K27&gt;=0)),"nm",IF(AND(J27&lt;0,K27&lt;0),IF(-(J27/K27-1)*100&lt;-100,"(&gt;100)",-(J27/K27-1)*100),IF((J27/K27-1)*100&gt;100,"&gt;100",(J27/K27-1)*100))))</f>
        <v>24.320576816417084</v>
      </c>
      <c r="O27" s="286"/>
    </row>
    <row r="28" spans="2:15" s="67" customFormat="1" ht="15.75" thickBot="1">
      <c r="B28" s="178" t="s">
        <v>67</v>
      </c>
      <c r="C28" s="429">
        <v>27</v>
      </c>
      <c r="D28" s="316">
        <v>39</v>
      </c>
      <c r="E28" s="319">
        <f>IF(AND(C28=0,D28=0),0,IF(OR(AND(C28&gt;0,D28&lt;=0),AND(C28&lt;0,D28&gt;=0)),"nm",IF(AND(C28&lt;0,D28&lt;0),IF(-(C28/D28-1)*100&lt;-100,"(&gt;100)",-(C28/D28-1)*100),IF((C28/D28-1)*100&gt;100,"&gt;100",(C28/D28-1)*100))))</f>
        <v>-30.76923076923077</v>
      </c>
      <c r="F28" s="484">
        <v>21</v>
      </c>
      <c r="G28" s="335">
        <v>36</v>
      </c>
      <c r="H28" s="335">
        <v>39</v>
      </c>
      <c r="I28" s="335">
        <f>IF(AND(C28=0,F28=0),0,IF(OR(AND(C28&gt;0,F28&lt;=0),AND(C28&lt;0,F28&gt;=0)),"nm",IF(AND(C28&lt;0,F28&lt;0),IF(-(C28/F28-1)*100&lt;-100,"(&gt;100)",-(C28/F28-1)*100),IF((C28/F28-1)*100&gt;100,"&gt;100",(C28/F28-1)*100))))</f>
        <v>28.57142857142858</v>
      </c>
      <c r="J28" s="429">
        <v>124</v>
      </c>
      <c r="K28" s="316">
        <v>127</v>
      </c>
      <c r="L28" s="335">
        <f>IF(AND(J28=0,K28=0),0,IF(OR(AND(J28&gt;0,K28&lt;=0),AND(J28&lt;0,K28&gt;=0)),"nm",IF(AND(J28&lt;0,K28&lt;0),IF(-(J28/K28-1)*100&lt;-100,"(&gt;100)",-(J28/K28-1)*100),IF((J28/K28-1)*100&gt;100,"&gt;100",(J28/K28-1)*100))))</f>
        <v>-2.3622047244094446</v>
      </c>
      <c r="O28" s="286"/>
    </row>
    <row r="29" spans="2:15" s="67" customFormat="1" ht="15">
      <c r="B29" s="176" t="s">
        <v>354</v>
      </c>
      <c r="C29" s="423">
        <f>SUM(C27:C28)</f>
        <v>1169</v>
      </c>
      <c r="D29" s="250">
        <f>SUM(D27:D28)</f>
        <v>1153</v>
      </c>
      <c r="E29" s="314">
        <f>IF(AND(C29=0,D29=0),0,IF(OR(AND(C29&gt;0,D29&lt;=0),AND(C29&lt;0,D29&gt;=0)),"nm",IF(AND(C29&lt;0,D29&lt;0),IF(-(C29/D29-1)*100&lt;-100,"(&gt;100)",-(C29/D29-1)*100),IF((C29/D29-1)*100&gt;100,"&gt;100",(C29/D29-1)*100))))</f>
        <v>1.3876843018213458</v>
      </c>
      <c r="F29" s="250">
        <f>SUM(F27:F28)</f>
        <v>1373</v>
      </c>
      <c r="G29" s="250">
        <v>1005</v>
      </c>
      <c r="H29" s="250">
        <v>1153</v>
      </c>
      <c r="I29" s="250">
        <f>IF(AND(C29=0,F29=0),0,IF(OR(AND(C29&gt;0,F29&lt;=0),AND(C29&lt;0,F29&gt;=0)),"nm",IF(AND(C29&lt;0,F29&lt;0),IF(-(C29/F29-1)*100&lt;-100,"(&gt;100)",-(C29/F29-1)*100),IF((C29/F29-1)*100&gt;100,"&gt;100",(C29/F29-1)*100))))</f>
        <v>-14.857975236707944</v>
      </c>
      <c r="J29" s="423">
        <f>SUM(J27:J28)</f>
        <v>4607</v>
      </c>
      <c r="K29" s="250">
        <v>3733</v>
      </c>
      <c r="L29" s="250">
        <f>IF(AND(J29=0,K29=0),0,IF(OR(AND(J29&gt;0,K29&lt;=0),AND(J29&lt;0,K29&gt;=0)),"nm",IF(AND(J29&lt;0,K29&lt;0),IF(-(J29/K29-1)*100&lt;-100,"(&gt;100)",-(J29/K29-1)*100),IF((J29/K29-1)*100&gt;100,"&gt;100",(J29/K29-1)*100))))</f>
        <v>23.41280471470668</v>
      </c>
      <c r="O29" s="286"/>
    </row>
    <row r="30" spans="2:15" s="67" customFormat="1" ht="15">
      <c r="B30" s="166"/>
      <c r="C30" s="146"/>
      <c r="D30" s="353"/>
      <c r="E30" s="314"/>
      <c r="F30" s="315"/>
      <c r="G30" s="250"/>
      <c r="H30" s="250"/>
      <c r="I30" s="250"/>
      <c r="J30" s="315"/>
      <c r="K30" s="315"/>
      <c r="L30" s="250"/>
      <c r="O30" s="286"/>
    </row>
    <row r="31" spans="2:15" s="67" customFormat="1" ht="15.75" thickBot="1">
      <c r="B31" s="166" t="s">
        <v>68</v>
      </c>
      <c r="C31" s="429">
        <v>167</v>
      </c>
      <c r="D31" s="316">
        <v>170</v>
      </c>
      <c r="E31" s="314">
        <f>IF(AND(C31=0,D31=0),0,IF(OR(AND(C31&gt;0,D31&lt;=0),AND(C31&lt;0,D31&gt;=0)),"nm",IF(AND(C31&lt;0,D31&lt;0),IF(-(C31/D31-1)*100&lt;-100,"(&gt;100)",-(C31/D31-1)*100),IF((C31/D31-1)*100&gt;100,"&gt;100",(C31/D31-1)*100))))</f>
        <v>-1.764705882352946</v>
      </c>
      <c r="F31" s="484">
        <v>110</v>
      </c>
      <c r="G31" s="335">
        <v>143</v>
      </c>
      <c r="H31" s="335">
        <v>170</v>
      </c>
      <c r="I31" s="250">
        <f>IF(AND(C31=0,F31=0),0,IF(OR(AND(C31&gt;0,F31&lt;=0),AND(C31&lt;0,F31&gt;=0)),"nm",IF(AND(C31&lt;0,F31&lt;0),IF(-(C31/F31-1)*100&lt;-100,"(&gt;100)",-(C31/F31-1)*100),IF((C31/F31-1)*100&gt;100,"&gt;100",(C31/F31-1)*100))))</f>
        <v>51.818181818181806</v>
      </c>
      <c r="J31" s="429">
        <v>588</v>
      </c>
      <c r="K31" s="316">
        <v>443</v>
      </c>
      <c r="L31" s="250">
        <f>IF(AND(J31=0,K31=0),0,IF(OR(AND(J31&gt;0,K31&lt;=0),AND(J31&lt;0,K31&gt;=0)),"nm",IF(AND(J31&lt;0,K31&lt;0),IF(-(J31/K31-1)*100&lt;-100,"(&gt;100)",-(J31/K31-1)*100),IF((J31/K31-1)*100&gt;100,"&gt;100",(J31/K31-1)*100))))</f>
        <v>32.731376975169304</v>
      </c>
      <c r="O31" s="286"/>
    </row>
    <row r="32" spans="2:15" s="67" customFormat="1" ht="15.75" thickBot="1">
      <c r="B32" s="176" t="s">
        <v>53</v>
      </c>
      <c r="C32" s="461">
        <f>C29-C31</f>
        <v>1002</v>
      </c>
      <c r="D32" s="332">
        <f>D29-D31</f>
        <v>983</v>
      </c>
      <c r="E32" s="336">
        <f>IF(AND(C32=0,D32=0),0,IF(OR(AND(C32&gt;0,D32&lt;=0),AND(C32&lt;0,D32&gt;=0)),"nm",IF(AND(C32&lt;0,D32&lt;0),IF(-(C32/D32-1)*100&lt;-100,"(&gt;100)",-(C32/D32-1)*100),IF((C32/D32-1)*100&gt;100,"&gt;100",(C32/D32-1)*100))))</f>
        <v>1.9328585961342792</v>
      </c>
      <c r="F32" s="332">
        <f>F29-F31</f>
        <v>1263</v>
      </c>
      <c r="G32" s="335">
        <v>862</v>
      </c>
      <c r="H32" s="335">
        <v>983</v>
      </c>
      <c r="I32" s="459">
        <f>IF(AND(C32=0,F32=0),0,IF(OR(AND(C32&gt;0,F32&lt;=0),AND(C32&lt;0,F32&gt;=0)),"nm",IF(AND(C32&lt;0,F32&lt;0),IF(-(C32/F32-1)*100&lt;-100,"(&gt;100)",-(C32/F32-1)*100),IF((C32/F32-1)*100&gt;100,"&gt;100",(C32/F32-1)*100))))</f>
        <v>-20.665083135391924</v>
      </c>
      <c r="J32" s="461">
        <f>J29-J31</f>
        <v>4019</v>
      </c>
      <c r="K32" s="332">
        <v>3290</v>
      </c>
      <c r="L32" s="459">
        <f>IF(AND(J32=0,K32=0),0,IF(OR(AND(J32&gt;0,K32&lt;=0),AND(J32&lt;0,K32&gt;=0)),"nm",IF(AND(J32&lt;0,K32&lt;0),IF(-(J32/K32-1)*100&lt;-100,"(&gt;100)",-(J32/K32-1)*100),IF((J32/K32-1)*100&gt;100,"&gt;100",(J32/K32-1)*100))))</f>
        <v>22.158054711246212</v>
      </c>
      <c r="O32" s="286"/>
    </row>
    <row r="33" spans="2:15" s="67" customFormat="1" ht="15">
      <c r="B33" s="166"/>
      <c r="C33" s="426"/>
      <c r="D33" s="353"/>
      <c r="E33" s="314"/>
      <c r="F33" s="317"/>
      <c r="G33" s="250"/>
      <c r="H33" s="250"/>
      <c r="I33" s="250"/>
      <c r="J33" s="315"/>
      <c r="K33" s="315"/>
      <c r="L33" s="250"/>
      <c r="O33" s="286"/>
    </row>
    <row r="34" spans="2:15" s="67" customFormat="1" ht="15">
      <c r="B34" s="166" t="s">
        <v>248</v>
      </c>
      <c r="C34" s="426"/>
      <c r="D34" s="353"/>
      <c r="E34" s="314"/>
      <c r="F34" s="317"/>
      <c r="G34" s="250"/>
      <c r="H34" s="250"/>
      <c r="I34" s="250"/>
      <c r="J34" s="315"/>
      <c r="K34" s="315"/>
      <c r="L34" s="250"/>
      <c r="O34" s="286"/>
    </row>
    <row r="35" spans="2:15" s="67" customFormat="1" ht="15">
      <c r="B35" s="176" t="s">
        <v>249</v>
      </c>
      <c r="C35" s="146">
        <v>950</v>
      </c>
      <c r="D35" s="315">
        <v>933</v>
      </c>
      <c r="E35" s="314">
        <f>IF(AND(C35=0,D35=0),0,IF(OR(AND(C35&gt;0,D35&lt;=0),AND(C35&lt;0,D35&gt;=0)),"nm",IF(AND(C35&lt;0,D35&lt;0),IF(-(C35/D35-1)*100&lt;-100,"(&gt;100)",-(C35/D35-1)*100),IF((C35/D35-1)*100&gt;100,"&gt;100",(C35/D35-1)*100))))</f>
        <v>1.8220793140407254</v>
      </c>
      <c r="F35" s="286">
        <v>1210</v>
      </c>
      <c r="G35" s="250">
        <v>810</v>
      </c>
      <c r="H35" s="250">
        <v>933</v>
      </c>
      <c r="I35" s="250">
        <f>IF(AND(C35=0,F35=0),0,IF(OR(AND(C35&gt;0,F35&lt;=0),AND(C35&lt;0,F35&gt;=0)),"nm",IF(AND(C35&lt;0,F35&lt;0),IF(-(C35/F35-1)*100&lt;-100,"(&gt;100)",-(C35/F35-1)*100),IF((C35/F35-1)*100&gt;100,"&gt;100",(C35/F35-1)*100))))</f>
        <v>-21.487603305785118</v>
      </c>
      <c r="J35" s="423">
        <v>3809</v>
      </c>
      <c r="K35" s="317">
        <v>3035</v>
      </c>
      <c r="L35" s="250">
        <f>IF(AND(J35=0,K35=0),0,IF(OR(AND(J35&gt;0,K35&lt;=0),AND(J35&lt;0,K35&gt;=0)),"nm",IF(AND(J35&lt;0,K35&lt;0),IF(-(J35/K35-1)*100&lt;-100,"(&gt;100)",-(J35/K35-1)*100),IF((J35/K35-1)*100&gt;100,"&gt;100",(J35/K35-1)*100))))</f>
        <v>25.50247116968698</v>
      </c>
      <c r="N35" s="349"/>
      <c r="O35" s="286"/>
    </row>
    <row r="36" spans="2:15" s="67" customFormat="1" ht="15.75" thickBot="1">
      <c r="B36" s="176" t="s">
        <v>356</v>
      </c>
      <c r="C36" s="429">
        <v>52</v>
      </c>
      <c r="D36" s="316">
        <v>50</v>
      </c>
      <c r="E36" s="319">
        <f>IF(AND(C36=0,D36=0),0,IF(OR(AND(C36&gt;0,D36&lt;=0),AND(C36&lt;0,D36&gt;=0)),"nm",IF(AND(C36&lt;0,D36&lt;0),IF(-(C36/D36-1)*100&lt;-100,"(&gt;100)",-(C36/D36-1)*100),IF((C36/D36-1)*100&gt;100,"&gt;100",(C36/D36-1)*100))))</f>
        <v>4.0000000000000036</v>
      </c>
      <c r="F36" s="484">
        <v>53</v>
      </c>
      <c r="G36" s="335">
        <v>52</v>
      </c>
      <c r="H36" s="335">
        <v>50</v>
      </c>
      <c r="I36" s="335">
        <f>IF(AND(C36=0,F36=0),0,IF(OR(AND(C36&gt;0,F36&lt;=0),AND(C36&lt;0,F36&gt;=0)),"nm",IF(AND(C36&lt;0,F36&lt;0),IF(-(C36/F36-1)*100&lt;-100,"(&gt;100)",-(C36/F36-1)*100),IF((C36/F36-1)*100&gt;100,"&gt;100",(C36/F36-1)*100))))</f>
        <v>-1.8867924528301883</v>
      </c>
      <c r="J36" s="429">
        <v>210</v>
      </c>
      <c r="K36" s="316">
        <v>255</v>
      </c>
      <c r="L36" s="335">
        <f>IF(AND(J36=0,K36=0),0,IF(OR(AND(J36&gt;0,K36&lt;=0),AND(J36&lt;0,K36&gt;=0)),"nm",IF(AND(J36&lt;0,K36&lt;0),IF(-(J36/K36-1)*100&lt;-100,"(&gt;100)",-(J36/K36-1)*100),IF((J36/K36-1)*100&gt;100,"&gt;100",(J36/K36-1)*100))))</f>
        <v>-17.647058823529417</v>
      </c>
      <c r="O36" s="286"/>
    </row>
    <row r="37" spans="2:15" s="67" customFormat="1" ht="15.75" thickBot="1">
      <c r="B37" s="179"/>
      <c r="C37" s="429">
        <f>SUM(C35:C36)</f>
        <v>1002</v>
      </c>
      <c r="D37" s="316">
        <f>SUM(D35:D36)</f>
        <v>983</v>
      </c>
      <c r="E37" s="319">
        <f>IF(AND(C37=0,D37=0),0,IF(OR(AND(C37&gt;0,D37&lt;=0),AND(C37&lt;0,D37&gt;=0)),"nm",IF(AND(C37&lt;0,D37&lt;0),IF(-(C37/D37-1)*100&lt;-100,"(&gt;100)",-(C37/D37-1)*100),IF((C37/D37-1)*100&gt;100,"&gt;100",(C37/D37-1)*100))))</f>
        <v>1.9328585961342792</v>
      </c>
      <c r="F37" s="316">
        <f>SUM(F35:F36)</f>
        <v>1263</v>
      </c>
      <c r="G37" s="335">
        <v>862</v>
      </c>
      <c r="H37" s="335">
        <v>983</v>
      </c>
      <c r="I37" s="335">
        <f>IF(AND(C37=0,F37=0),0,IF(OR(AND(C37&gt;0,F37&lt;=0),AND(C37&lt;0,F37&gt;=0)),"nm",IF(AND(C37&lt;0,F37&lt;0),IF(-(C37/F37-1)*100&lt;-100,"(&gt;100)",-(C37/F37-1)*100),IF((C37/F37-1)*100&gt;100,"&gt;100",(C37/F37-1)*100))))</f>
        <v>-20.665083135391924</v>
      </c>
      <c r="J37" s="444">
        <f>SUM(J35:J36)</f>
        <v>4019</v>
      </c>
      <c r="K37" s="335">
        <v>3290</v>
      </c>
      <c r="L37" s="335">
        <f>IF(AND(J37=0,K37=0),0,IF(OR(AND(J37&gt;0,K37&lt;=0),AND(J37&lt;0,K37&gt;=0)),"nm",IF(AND(J37&lt;0,K37&lt;0),IF(-(J37/K37-1)*100&lt;-100,"(&gt;100)",-(J37/K37-1)*100),IF((J37/K37-1)*100&gt;100,"&gt;100",(J37/K37-1)*100))))</f>
        <v>22.158054711246212</v>
      </c>
      <c r="O37" s="286"/>
    </row>
    <row r="38" spans="2:12" s="67" customFormat="1" ht="15.75" thickBot="1">
      <c r="B38" s="180"/>
      <c r="C38" s="425"/>
      <c r="D38" s="222"/>
      <c r="E38" s="251"/>
      <c r="F38" s="231"/>
      <c r="G38" s="394"/>
      <c r="H38" s="394"/>
      <c r="I38" s="255"/>
      <c r="J38" s="379"/>
      <c r="K38" s="216"/>
      <c r="L38" s="242"/>
    </row>
    <row r="39" spans="1:12" ht="15" thickTop="1">
      <c r="A39" s="80"/>
      <c r="B39" s="108"/>
      <c r="C39" s="373"/>
      <c r="D39" s="223"/>
      <c r="E39" s="217"/>
      <c r="F39" s="223"/>
      <c r="G39" s="223"/>
      <c r="H39" s="223"/>
      <c r="I39" s="217"/>
      <c r="J39" s="374"/>
      <c r="K39" s="238"/>
      <c r="L39" s="243"/>
    </row>
    <row r="40" spans="1:12" ht="14.25">
      <c r="A40" s="80"/>
      <c r="B40" s="108"/>
      <c r="C40" s="374"/>
      <c r="D40" s="218"/>
      <c r="E40" s="217"/>
      <c r="F40" s="218"/>
      <c r="G40" s="218"/>
      <c r="H40" s="218"/>
      <c r="I40" s="217"/>
      <c r="J40" s="374"/>
      <c r="K40" s="238"/>
      <c r="L40" s="243"/>
    </row>
    <row r="41" spans="1:12" ht="15">
      <c r="A41" s="109" t="s">
        <v>351</v>
      </c>
      <c r="B41" s="108"/>
      <c r="C41" s="374"/>
      <c r="D41" s="218"/>
      <c r="E41" s="217"/>
      <c r="F41" s="218"/>
      <c r="G41" s="218"/>
      <c r="H41" s="218"/>
      <c r="I41" s="217"/>
      <c r="J41" s="374"/>
      <c r="K41" s="238"/>
      <c r="L41" s="243"/>
    </row>
    <row r="42" spans="1:12" ht="15" thickBot="1">
      <c r="A42" s="80"/>
      <c r="B42" s="108"/>
      <c r="C42" s="374"/>
      <c r="D42" s="218"/>
      <c r="E42" s="217"/>
      <c r="F42" s="218"/>
      <c r="G42" s="218"/>
      <c r="H42" s="218"/>
      <c r="I42" s="217"/>
      <c r="J42" s="374"/>
      <c r="K42" s="238"/>
      <c r="L42" s="243"/>
    </row>
    <row r="43" spans="1:12" ht="15.75" customHeight="1" thickTop="1">
      <c r="A43" s="80"/>
      <c r="B43" s="172"/>
      <c r="C43" s="520" t="s">
        <v>412</v>
      </c>
      <c r="D43" s="520" t="s">
        <v>389</v>
      </c>
      <c r="E43" s="248" t="s">
        <v>239</v>
      </c>
      <c r="F43" s="520" t="s">
        <v>395</v>
      </c>
      <c r="G43" s="520" t="s">
        <v>398</v>
      </c>
      <c r="H43" s="520" t="s">
        <v>389</v>
      </c>
      <c r="I43" s="287" t="s">
        <v>239</v>
      </c>
      <c r="J43" s="518" t="s">
        <v>401</v>
      </c>
      <c r="K43" s="518" t="s">
        <v>402</v>
      </c>
      <c r="L43" s="280" t="s">
        <v>239</v>
      </c>
    </row>
    <row r="44" spans="1:12" ht="15.75" thickBot="1">
      <c r="A44" s="80"/>
      <c r="B44" s="173" t="s">
        <v>238</v>
      </c>
      <c r="C44" s="522"/>
      <c r="D44" s="522"/>
      <c r="E44" s="249" t="s">
        <v>240</v>
      </c>
      <c r="F44" s="521"/>
      <c r="G44" s="522"/>
      <c r="H44" s="522"/>
      <c r="I44" s="288" t="s">
        <v>240</v>
      </c>
      <c r="J44" s="519"/>
      <c r="K44" s="519"/>
      <c r="L44" s="281" t="s">
        <v>240</v>
      </c>
    </row>
    <row r="45" spans="1:12" ht="15.75" thickTop="1">
      <c r="A45" s="80"/>
      <c r="B45" s="174"/>
      <c r="C45" s="371"/>
      <c r="D45" s="72"/>
      <c r="E45" s="135"/>
      <c r="F45" s="72"/>
      <c r="G45" s="314"/>
      <c r="H45" s="314"/>
      <c r="I45" s="135"/>
      <c r="J45" s="378"/>
      <c r="K45" s="103"/>
      <c r="L45" s="135"/>
    </row>
    <row r="46" spans="1:12" ht="15">
      <c r="A46" s="80"/>
      <c r="B46" s="176" t="s">
        <v>53</v>
      </c>
      <c r="C46" s="229">
        <v>1002</v>
      </c>
      <c r="D46" s="314">
        <f>D37</f>
        <v>983</v>
      </c>
      <c r="E46" s="140">
        <f>IF(AND(C46=0,D46=0),0,IF(OR(AND(C46&gt;0,D46&lt;=0),AND(C46&lt;0,D46&gt;=0)),"nm",IF(AND(C46&lt;0,D46&lt;0),IF(-(C46/D46-1)*100&lt;-100,"(&gt;100)",-(C46/D46-1)*100),IF((C46/D46-1)*100&gt;100,"&gt;100",(C46/D46-1)*100))))</f>
        <v>1.9328585961342792</v>
      </c>
      <c r="F46" s="314">
        <v>1263</v>
      </c>
      <c r="G46" s="314">
        <v>862</v>
      </c>
      <c r="H46" s="314">
        <f>H37</f>
        <v>983</v>
      </c>
      <c r="I46" s="140">
        <f>IF(AND(C46=0,F46=0),0,IF(OR(AND(C46&gt;0,F46&lt;=0),AND(C46&lt;0,F46&gt;=0)),"nm",IF(AND(C46&lt;0,F46&lt;0),IF(-(C46/F46-1)*100&lt;-100,"(&gt;100)",-(C46/F46-1)*100),IF((C46/F46-1)*100&gt;100,"&gt;100",(C46/F46-1)*100))))</f>
        <v>-20.665083135391924</v>
      </c>
      <c r="J46" s="426">
        <v>4019</v>
      </c>
      <c r="K46" s="136">
        <v>3290</v>
      </c>
      <c r="L46" s="140">
        <f>IF(AND(J46=0,K46=0),0,IF(OR(AND(J46&gt;0,K46&lt;=0),AND(J46&lt;0,K46&gt;=0)),"nm",IF(AND(J46&lt;0,K46&lt;0),IF(-(J46/K46-1)*100&lt;-100,"(&gt;100)",-(J46/K46-1)*100),IF((J46/K46-1)*100&gt;100,"&gt;100",(J46/K46-1)*100))))</f>
        <v>22.158054711246212</v>
      </c>
    </row>
    <row r="47" spans="1:12" ht="15">
      <c r="A47" s="80"/>
      <c r="B47" s="176"/>
      <c r="C47" s="229"/>
      <c r="D47" s="485"/>
      <c r="E47" s="311"/>
      <c r="F47" s="314"/>
      <c r="G47" s="314"/>
      <c r="H47" s="314"/>
      <c r="I47" s="250"/>
      <c r="J47" s="147"/>
      <c r="K47" s="315"/>
      <c r="L47" s="250"/>
    </row>
    <row r="48" spans="1:12" ht="15">
      <c r="A48" s="80"/>
      <c r="B48" s="176" t="s">
        <v>250</v>
      </c>
      <c r="C48" s="229"/>
      <c r="D48" s="485"/>
      <c r="E48" s="311"/>
      <c r="F48" s="72"/>
      <c r="G48" s="314"/>
      <c r="H48" s="314"/>
      <c r="I48" s="135"/>
      <c r="J48" s="147"/>
      <c r="K48" s="103"/>
      <c r="L48" s="250"/>
    </row>
    <row r="49" spans="1:12" ht="29.25">
      <c r="A49" s="80"/>
      <c r="B49" s="166" t="s">
        <v>251</v>
      </c>
      <c r="C49" s="490">
        <v>37</v>
      </c>
      <c r="D49" s="445">
        <f>-23</f>
        <v>-23</v>
      </c>
      <c r="E49" s="140" t="str">
        <f>IF(AND(C49=0,D49=0),0,IF(OR(AND(C49&gt;0,D49&lt;=0),AND(C49&lt;0,D49&gt;=0)),"nm",IF(AND(C49&lt;0,D49&lt;0),IF(-(C49/D49-1)*100&lt;-100,"(&gt;100)",-(C49/D49-1)*100),IF((C49/D49-1)*100&gt;100,"&gt;100",(C49/D49-1)*100))))</f>
        <v>nm</v>
      </c>
      <c r="F49" s="445">
        <v>-26</v>
      </c>
      <c r="G49" s="445">
        <v>-22</v>
      </c>
      <c r="H49" s="445">
        <v>-23</v>
      </c>
      <c r="I49" s="140" t="str">
        <f>IF(AND(C49=0,F49=0),0,IF(OR(AND(C49&gt;0,F49&lt;=0),AND(C49&lt;0,F49&gt;=0)),"nm",IF(AND(C49&lt;0,F49&lt;0),IF(-(C49/F49-1)*100&lt;-100,"(&gt;100)",-(C49/F49-1)*100),IF((C49/F49-1)*100&gt;100,"&gt;100",(C49/F49-1)*100))))</f>
        <v>nm</v>
      </c>
      <c r="J49" s="446">
        <v>-110</v>
      </c>
      <c r="K49" s="135">
        <v>-38</v>
      </c>
      <c r="L49" s="140" t="str">
        <f aca="true" t="shared" si="3" ref="L49:L61">IF(AND(J49=0,K49=0),0,IF(OR(AND(J49&gt;0,K49&lt;=0),AND(J49&lt;0,K49&gt;=0)),"nm",IF(AND(J49&lt;0,K49&lt;0),IF(-(J49/K49-1)*100&lt;-100,"(&gt;100)",-(J49/K49-1)*100),IF((J49/K49-1)*100&gt;100,"&gt;100",(J49/K49-1)*100))))</f>
        <v>(&gt;100)</v>
      </c>
    </row>
    <row r="50" spans="1:12" ht="29.25">
      <c r="A50" s="80"/>
      <c r="B50" s="166" t="s">
        <v>252</v>
      </c>
      <c r="C50" s="490">
        <v>2</v>
      </c>
      <c r="D50" s="445">
        <v>3</v>
      </c>
      <c r="E50" s="140">
        <f>IF(AND(C50=0,D50=0),0,IF(OR(AND(C50&gt;0,D50&lt;=0),AND(C50&lt;0,D50&gt;=0)),"nm",IF(AND(C50&lt;0,D50&lt;0),IF(-(C50/D50-1)*100&lt;-100,"(&gt;100)",-(C50/D50-1)*100),IF((C50/D50-1)*100&gt;100,"&gt;100",(C50/D50-1)*100))))</f>
        <v>-33.333333333333336</v>
      </c>
      <c r="F50" s="314">
        <v>5</v>
      </c>
      <c r="G50" s="314">
        <v>-10</v>
      </c>
      <c r="H50" s="314">
        <v>3</v>
      </c>
      <c r="I50" s="140">
        <f>IF(AND(C50=0,F50=0),0,IF(OR(AND(C50&gt;0,F50&lt;=0),AND(C50&lt;0,F50&gt;=0)),"nm",IF(AND(C50&lt;0,F50&lt;0),IF(-(C50/F50-1)*100&lt;-100,"(&gt;100)",-(C50/F50-1)*100),IF((C50/F50-1)*100&gt;100,"&gt;100",(C50/F50-1)*100))))</f>
        <v>-60</v>
      </c>
      <c r="J50" s="427">
        <v>-3</v>
      </c>
      <c r="K50" s="135">
        <v>-1</v>
      </c>
      <c r="L50" s="140" t="str">
        <f t="shared" si="3"/>
        <v>(&gt;100)</v>
      </c>
    </row>
    <row r="51" spans="1:12" ht="15">
      <c r="A51" s="80"/>
      <c r="B51" s="166" t="s">
        <v>381</v>
      </c>
      <c r="C51" s="488"/>
      <c r="D51" s="486"/>
      <c r="E51" s="250"/>
      <c r="F51" s="314"/>
      <c r="G51" s="314"/>
      <c r="H51" s="314"/>
      <c r="I51" s="250"/>
      <c r="J51" s="147"/>
      <c r="K51" s="315"/>
      <c r="L51" s="140"/>
    </row>
    <row r="52" spans="1:12" ht="15">
      <c r="A52" s="80"/>
      <c r="B52" s="181" t="s">
        <v>253</v>
      </c>
      <c r="C52" s="490">
        <v>54</v>
      </c>
      <c r="D52" s="445">
        <f>161-D56</f>
        <v>139</v>
      </c>
      <c r="E52" s="140">
        <f>IF(AND(C52=0,D52=0),0,IF(OR(AND(C52&gt;0,D52&lt;=0),AND(C52&lt;0,D52&gt;=0)),"nm",IF(AND(C52&lt;0,D52&lt;0),IF(-(C52/D52-1)*100&lt;-100,"(&gt;100)",-(C52/D52-1)*100),IF((C52/D52-1)*100&gt;100,"&gt;100",(C52/D52-1)*100))))</f>
        <v>-61.15107913669065</v>
      </c>
      <c r="F52" s="72">
        <v>114</v>
      </c>
      <c r="G52" s="314">
        <v>158</v>
      </c>
      <c r="H52" s="314">
        <v>139</v>
      </c>
      <c r="I52" s="131">
        <f>IF(AND(C52=0,F52=0),0,IF(OR(AND(C52&gt;0,F52&lt;=0),AND(C52&lt;0,F52&gt;=0)),"nm",IF(AND(C52&lt;0,F52&lt;0),IF(-(C52/F52-1)*100&lt;-100,"(&gt;100)",-(C52/F52-1)*100),IF((C52/F52-1)*100&gt;100,"&gt;100",(C52/F52-1)*100))))</f>
        <v>-52.63157894736843</v>
      </c>
      <c r="J52" s="229">
        <v>613</v>
      </c>
      <c r="K52" s="315">
        <v>416</v>
      </c>
      <c r="L52" s="140">
        <f t="shared" si="3"/>
        <v>47.355769230769226</v>
      </c>
    </row>
    <row r="53" spans="1:12" ht="15">
      <c r="A53" s="80"/>
      <c r="B53" s="181" t="s">
        <v>378</v>
      </c>
      <c r="C53" s="490">
        <v>-55</v>
      </c>
      <c r="D53" s="445">
        <v>-95</v>
      </c>
      <c r="E53" s="140">
        <f>IF(AND(C53=0,D53=0),0,IF(OR(AND(C53&gt;0,D53&lt;=0),AND(C53&lt;0,D53&gt;=0)),"nm",IF(AND(C53&lt;0,D53&lt;0),IF(-(C53/D53-1)*100&lt;-100,"(&gt;100)",-(C53/D53-1)*100),IF((C53/D53-1)*100&gt;100,"&gt;100",(C53/D53-1)*100))))</f>
        <v>42.10526315789473</v>
      </c>
      <c r="F53" s="314">
        <v>-98</v>
      </c>
      <c r="G53" s="314">
        <v>-64</v>
      </c>
      <c r="H53" s="314">
        <v>-95</v>
      </c>
      <c r="I53" s="140">
        <f>IF(AND(C53=0,F53=0),0,IF(OR(AND(C53&gt;0,F53&lt;=0),AND(C53&lt;0,F53&gt;=0)),"nm",IF(AND(C53&lt;0,F53&lt;0),IF(-(C53/F53-1)*100&lt;-100,"(&gt;100)",-(C53/F53-1)*100),IF((C53/F53-1)*100&gt;100,"&gt;100",(C53/F53-1)*100))))</f>
        <v>43.87755102040817</v>
      </c>
      <c r="J53" s="229">
        <v>-345</v>
      </c>
      <c r="K53" s="72">
        <v>-425</v>
      </c>
      <c r="L53" s="140">
        <f t="shared" si="3"/>
        <v>18.823529411764707</v>
      </c>
    </row>
    <row r="54" spans="1:12" ht="29.25">
      <c r="A54" s="80"/>
      <c r="B54" s="182" t="s">
        <v>254</v>
      </c>
      <c r="C54" s="490">
        <v>-9</v>
      </c>
      <c r="D54" s="445">
        <v>-14</v>
      </c>
      <c r="E54" s="140">
        <f>IF(AND(C54=0,D54=0),0,IF(OR(AND(C54&gt;0,D54&lt;=0),AND(C54&lt;0,D54&gt;=0)),"nm",IF(AND(C54&lt;0,D54&lt;0),IF(-(C54/D54-1)*100&lt;-100,"(&gt;100)",-(C54/D54-1)*100),IF((C54/D54-1)*100&gt;100,"&gt;100",(C54/D54-1)*100))))</f>
        <v>35.71428571428571</v>
      </c>
      <c r="F54" s="363">
        <v>-8</v>
      </c>
      <c r="G54" s="363">
        <v>-4</v>
      </c>
      <c r="H54" s="363">
        <v>-14</v>
      </c>
      <c r="I54" s="140">
        <f>IF(AND(C54=0,F54=0),0,IF(OR(AND(C54&gt;0,F54&lt;=0),AND(C54&lt;0,F54&gt;=0)),"nm",IF(AND(C54&lt;0,F54&lt;0),IF(-(C54/F54-1)*100&lt;-100,"(&gt;100)",-(C54/F54-1)*100),IF((C54/F54-1)*100&gt;100,"&gt;100",(C54/F54-1)*100))))</f>
        <v>-12.5</v>
      </c>
      <c r="J54" s="422">
        <f>-44-J58</f>
        <v>-42</v>
      </c>
      <c r="K54" s="264">
        <v>29</v>
      </c>
      <c r="L54" s="140" t="str">
        <f t="shared" si="3"/>
        <v>nm</v>
      </c>
    </row>
    <row r="55" spans="1:12" ht="15">
      <c r="A55" s="80"/>
      <c r="B55" s="166" t="s">
        <v>363</v>
      </c>
      <c r="C55" s="17"/>
      <c r="D55" s="121"/>
      <c r="E55" s="140"/>
      <c r="F55" s="363"/>
      <c r="G55" s="363"/>
      <c r="H55" s="363"/>
      <c r="I55" s="140"/>
      <c r="J55" s="420"/>
      <c r="K55" s="264"/>
      <c r="L55" s="140"/>
    </row>
    <row r="56" spans="1:12" ht="15">
      <c r="A56" s="80"/>
      <c r="B56" s="181" t="s">
        <v>253</v>
      </c>
      <c r="C56" s="422">
        <v>-15</v>
      </c>
      <c r="D56" s="363">
        <v>22</v>
      </c>
      <c r="E56" s="140" t="str">
        <f>IF(AND(C56=0,D56=0),0,IF(OR(AND(C56&gt;0,D56&lt;=0),AND(C56&lt;0,D56&gt;=0)),"nm",IF(AND(C56&lt;0,D56&lt;0),IF(-(C56/D56-1)*100&lt;-100,"(&gt;100)",-(C56/D56-1)*100),IF((C56/D56-1)*100&gt;100,"&gt;100",(C56/D56-1)*100))))</f>
        <v>nm</v>
      </c>
      <c r="F56" s="363">
        <v>-13</v>
      </c>
      <c r="G56" s="363">
        <v>-1</v>
      </c>
      <c r="H56" s="363">
        <v>22</v>
      </c>
      <c r="I56" s="140">
        <f>IF(AND(C56=0,F56=0),0,IF(OR(AND(C56&gt;0,F56&lt;=0),AND(C56&lt;0,F56&gt;=0)),"nm",IF(AND(C56&lt;0,F56&lt;0),IF(-(C56/F56-1)*100&lt;-100,"(&gt;100)",-(C56/F56-1)*100),IF((C56/F56-1)*100&gt;100,"&gt;100",(C56/F56-1)*100))))</f>
        <v>-15.384615384615374</v>
      </c>
      <c r="J56" s="422">
        <v>9</v>
      </c>
      <c r="K56" s="264">
        <v>-18</v>
      </c>
      <c r="L56" s="140" t="str">
        <f t="shared" si="3"/>
        <v>nm</v>
      </c>
    </row>
    <row r="57" spans="1:12" ht="15">
      <c r="A57" s="80"/>
      <c r="B57" s="181" t="s">
        <v>378</v>
      </c>
      <c r="C57" s="422">
        <v>3</v>
      </c>
      <c r="D57" s="363">
        <v>0</v>
      </c>
      <c r="E57" s="140" t="str">
        <f>IF(AND(C57=0,D57=0),0,IF(OR(AND(C57&gt;0,D57&lt;=0),AND(C57&lt;0,D57&gt;=0)),"nm",IF(AND(C57&lt;0,D57&lt;0),IF(-(C57/D57-1)*100&lt;-100,"(&gt;100)",-(C57/D57-1)*100),IF((C57/D57-1)*100&gt;100,"&gt;100",(C57/D57-1)*100))))</f>
        <v>nm</v>
      </c>
      <c r="F57" s="314">
        <v>8</v>
      </c>
      <c r="G57" s="314">
        <v>-3</v>
      </c>
      <c r="H57" s="314">
        <v>0</v>
      </c>
      <c r="I57" s="140">
        <f>IF(AND(C57=0,F57=0),0,IF(OR(AND(C57&gt;0,F57&lt;=0),AND(C57&lt;0,F57&gt;=0)),"nm",IF(AND(C57&lt;0,F57&lt;0),IF(-(C57/F57-1)*100&lt;-100,"(&gt;100)",-(C57/F57-1)*100),IF((C57/F57-1)*100&gt;100,"&gt;100",(C57/F57-1)*100))))</f>
        <v>-62.5</v>
      </c>
      <c r="J57" s="423">
        <v>8</v>
      </c>
      <c r="K57" s="328">
        <v>0</v>
      </c>
      <c r="L57" s="140" t="str">
        <f>IF(AND(J57=0,K57=0),0,IF(OR(AND(J57&gt;0,K57&lt;=0),AND(J57&lt;0,K57&gt;=0)),"nm",IF(AND(J57&lt;0,K57&lt;0),IF(-(J57/K57-1)*100&lt;-100,"(&gt;100)",-(J57/K57-1)*100),IF((J57/K57-1)*100&gt;100,"&gt;100",(J57/K57-1)*100))))</f>
        <v>nm</v>
      </c>
    </row>
    <row r="58" spans="1:12" ht="30" thickBot="1">
      <c r="A58" s="80"/>
      <c r="B58" s="182" t="s">
        <v>254</v>
      </c>
      <c r="C58" s="424">
        <v>1</v>
      </c>
      <c r="D58" s="319">
        <v>-3</v>
      </c>
      <c r="E58" s="333" t="str">
        <f>IF(AND(C58=0,D58=0),0,IF(OR(AND(C58&gt;0,D58&lt;=0),AND(C58&lt;0,D58&gt;=0)),"nm",IF(AND(C58&lt;0,D58&lt;0),IF(-(C58/D58-1)*100&lt;-100,"(&gt;100)",-(C58/D58-1)*100),IF((C58/D58-1)*100&gt;100,"&gt;100",(C58/D58-1)*100))))</f>
        <v>nm</v>
      </c>
      <c r="F58" s="319">
        <v>1</v>
      </c>
      <c r="G58" s="319">
        <v>1</v>
      </c>
      <c r="H58" s="319">
        <v>-3</v>
      </c>
      <c r="I58" s="333">
        <f>IF(AND(C58=0,F58=0),0,IF(OR(AND(C58&gt;0,F58&lt;=0),AND(C58&lt;0,F58&gt;=0)),"nm",IF(AND(C58&lt;0,F58&lt;0),IF(-(C58/F58-1)*100&lt;-100,"(&gt;100)",-(C58/F58-1)*100),IF((C58/F58-1)*100&gt;100,"&gt;100",(C58/F58-1)*100))))</f>
        <v>0</v>
      </c>
      <c r="J58" s="424">
        <v>-2</v>
      </c>
      <c r="K58" s="221">
        <v>2</v>
      </c>
      <c r="L58" s="333" t="str">
        <f t="shared" si="3"/>
        <v>nm</v>
      </c>
    </row>
    <row r="59" spans="1:12" ht="15">
      <c r="A59" s="80"/>
      <c r="B59" s="176" t="s">
        <v>255</v>
      </c>
      <c r="C59" s="229">
        <f>SUM(C49:C58)</f>
        <v>18</v>
      </c>
      <c r="D59" s="314">
        <f>SUM(D49:D58)</f>
        <v>29</v>
      </c>
      <c r="E59" s="140">
        <f>IF(AND(C59=0,D59=0),0,IF(OR(AND(C59&gt;0,D59&lt;=0),AND(C59&lt;0,D59&gt;=0)),"nm",IF(AND(C59&lt;0,D59&lt;0),IF(-(C59/D59-1)*100&lt;-100,"(&gt;100)",-(C59/D59-1)*100),IF((C59/D59-1)*100&gt;100,"&gt;100",(C59/D59-1)*100))))</f>
        <v>-37.93103448275862</v>
      </c>
      <c r="F59" s="314">
        <f>SUM(F49:F58)</f>
        <v>-17</v>
      </c>
      <c r="G59" s="314">
        <v>55</v>
      </c>
      <c r="H59" s="314">
        <f>SUM(H49:H58)</f>
        <v>29</v>
      </c>
      <c r="I59" s="140" t="str">
        <f>IF(AND(C59=0,F59=0),0,IF(OR(AND(C59&gt;0,F59&lt;=0),AND(C59&lt;0,F59&gt;=0)),"nm",IF(AND(C59&lt;0,F59&lt;0),IF(-(C59/F59-1)*100&lt;-100,"(&gt;100)",-(C59/F59-1)*100),IF((C59/F59-1)*100&gt;100,"&gt;100",(C59/F59-1)*100))))</f>
        <v>nm</v>
      </c>
      <c r="J59" s="229">
        <f>SUM(J49:J58)</f>
        <v>128</v>
      </c>
      <c r="K59" s="72">
        <v>-35</v>
      </c>
      <c r="L59" s="140" t="str">
        <f t="shared" si="3"/>
        <v>nm</v>
      </c>
    </row>
    <row r="60" spans="1:12" ht="15.75" thickBot="1">
      <c r="A60" s="80"/>
      <c r="B60" s="166"/>
      <c r="C60" s="229"/>
      <c r="D60" s="314"/>
      <c r="E60" s="335"/>
      <c r="F60" s="314"/>
      <c r="G60" s="314"/>
      <c r="H60" s="314"/>
      <c r="I60" s="335"/>
      <c r="J60" s="147"/>
      <c r="K60" s="315"/>
      <c r="L60" s="335"/>
    </row>
    <row r="61" spans="1:12" ht="16.5" customHeight="1" thickBot="1">
      <c r="A61" s="80"/>
      <c r="B61" s="176" t="s">
        <v>256</v>
      </c>
      <c r="C61" s="491">
        <f>C59+C46</f>
        <v>1020</v>
      </c>
      <c r="D61" s="336">
        <f>D59+D46</f>
        <v>1012</v>
      </c>
      <c r="E61" s="333">
        <f>IF(AND(C61=0,D61=0),0,IF(OR(AND(C61&gt;0,D61&lt;=0),AND(C61&lt;0,D61&gt;=0)),"nm",IF(AND(C61&lt;0,D61&lt;0),IF(-(C61/D61-1)*100&lt;-100,"(&gt;100)",-(C61/D61-1)*100),IF((C61/D61-1)*100&gt;100,"&gt;100",(C61/D61-1)*100))))</f>
        <v>0.7905138339920903</v>
      </c>
      <c r="F61" s="336">
        <f>F59+F46</f>
        <v>1246</v>
      </c>
      <c r="G61" s="336">
        <v>917</v>
      </c>
      <c r="H61" s="336">
        <f>H59+H46</f>
        <v>1012</v>
      </c>
      <c r="I61" s="337">
        <f>IF(AND(C61=0,F61=0),0,IF(OR(AND(C61&gt;0,F61&lt;=0),AND(C61&lt;0,F61&gt;=0)),"nm",IF(AND(C61&lt;0,F61&lt;0),IF(-(C61/F61-1)*100&lt;-100,"(&gt;100)",-(C61/F61-1)*100),IF((C61/F61-1)*100&gt;100,"&gt;100",(C61/F61-1)*100))))</f>
        <v>-18.13804173354735</v>
      </c>
      <c r="J61" s="428">
        <f>J59+J46</f>
        <v>4147</v>
      </c>
      <c r="K61" s="336">
        <v>3255</v>
      </c>
      <c r="L61" s="333">
        <f t="shared" si="3"/>
        <v>27.403993855606767</v>
      </c>
    </row>
    <row r="62" spans="1:12" ht="15">
      <c r="A62" s="80"/>
      <c r="B62" s="166"/>
      <c r="C62" s="487"/>
      <c r="D62" s="485"/>
      <c r="E62" s="311"/>
      <c r="F62" s="72"/>
      <c r="G62" s="314"/>
      <c r="H62" s="314"/>
      <c r="I62" s="135"/>
      <c r="J62" s="147"/>
      <c r="K62" s="103"/>
      <c r="L62" s="311"/>
    </row>
    <row r="63" spans="1:12" ht="15">
      <c r="A63" s="80"/>
      <c r="B63" s="166" t="s">
        <v>248</v>
      </c>
      <c r="C63" s="487"/>
      <c r="D63" s="485"/>
      <c r="E63" s="311"/>
      <c r="F63" s="314"/>
      <c r="G63" s="314"/>
      <c r="H63" s="314"/>
      <c r="I63" s="250"/>
      <c r="J63" s="147"/>
      <c r="K63" s="315"/>
      <c r="L63" s="311"/>
    </row>
    <row r="64" spans="1:12" ht="15">
      <c r="A64" s="80"/>
      <c r="B64" s="176" t="s">
        <v>249</v>
      </c>
      <c r="C64" s="229">
        <v>966</v>
      </c>
      <c r="D64" s="314">
        <v>970</v>
      </c>
      <c r="E64" s="140">
        <f>IF(AND(C64=0,D64=0),0,IF(OR(AND(C64&gt;0,D64&lt;=0),AND(C64&lt;0,D64&gt;=0)),"nm",IF(AND(C64&lt;0,D64&lt;0),IF(-(C64/D64-1)*100&lt;-100,"(&gt;100)",-(C64/D64-1)*100),IF((C64/D64-1)*100&gt;100,"&gt;100",(C64/D64-1)*100))))</f>
        <v>-0.4123711340206171</v>
      </c>
      <c r="F64" s="72">
        <v>1192</v>
      </c>
      <c r="G64" s="314">
        <v>869</v>
      </c>
      <c r="H64" s="314">
        <v>970</v>
      </c>
      <c r="I64" s="131">
        <f>IF(AND(C64=0,F64=0),0,IF(OR(AND(C64&gt;0,F64&lt;=0),AND(C64&lt;0,F64&gt;=0)),"nm",IF(AND(C64&lt;0,F64&lt;0),IF(-(C64/F64-1)*100&lt;-100,"(&gt;100)",-(C64/F64-1)*100),IF((C64/F64-1)*100&gt;100,"&gt;100",(C64/F64-1)*100))))</f>
        <v>-18.95973154362416</v>
      </c>
      <c r="J64" s="426">
        <v>3948</v>
      </c>
      <c r="K64" s="317">
        <v>3019</v>
      </c>
      <c r="L64" s="140">
        <f>IF(AND(J64=0,K64=0),0,IF(OR(AND(J64&gt;0,K64&lt;=0),AND(J64&lt;0,K64&gt;=0)),"nm",IF(AND(J64&lt;0,K64&lt;0),IF(-(J64/K64-1)*100&lt;-100,"(&gt;100)",-(J64/K64-1)*100),IF((J64/K64-1)*100&gt;100,"&gt;100",(J64/K64-1)*100))))</f>
        <v>30.771778734680353</v>
      </c>
    </row>
    <row r="65" spans="1:12" ht="15.75" thickBot="1">
      <c r="A65" s="80"/>
      <c r="B65" s="176" t="s">
        <v>356</v>
      </c>
      <c r="C65" s="424">
        <v>54</v>
      </c>
      <c r="D65" s="319">
        <v>42</v>
      </c>
      <c r="E65" s="333">
        <f>IF(AND(C65=0,D65=0),0,IF(OR(AND(C65&gt;0,D65&lt;=0),AND(C65&lt;0,D65&gt;=0)),"nm",IF(AND(C65&lt;0,D65&lt;0),IF(-(C65/D65-1)*100&lt;-100,"(&gt;100)",-(C65/D65-1)*100),IF((C65/D65-1)*100&gt;100,"&gt;100",(C65/D65-1)*100))))</f>
        <v>28.57142857142858</v>
      </c>
      <c r="F65" s="221">
        <v>54</v>
      </c>
      <c r="G65" s="319">
        <v>48</v>
      </c>
      <c r="H65" s="319">
        <v>42</v>
      </c>
      <c r="I65" s="337">
        <f>IF(AND(C65=0,F65=0),0,IF(OR(AND(C65&gt;0,F65&lt;=0),AND(C65&lt;0,F65&gt;=0)),"nm",IF(AND(C65&lt;0,F65&lt;0),IF(-(C65/F65-1)*100&lt;-100,"(&gt;100)",-(C65/F65-1)*100),IF((C65/F65-1)*100&gt;100,"&gt;100",(C65/F65-1)*100))))</f>
        <v>0</v>
      </c>
      <c r="J65" s="429">
        <v>199</v>
      </c>
      <c r="K65" s="316">
        <v>236</v>
      </c>
      <c r="L65" s="333">
        <f>IF(AND(J65=0,K65=0),0,IF(OR(AND(J65&gt;0,K65&lt;=0),AND(J65&lt;0,K65&gt;=0)),"nm",IF(AND(J65&lt;0,K65&lt;0),IF(-(J65/K65-1)*100&lt;-100,"(&gt;100)",-(J65/K65-1)*100),IF((J65/K65-1)*100&gt;100,"&gt;100",(J65/K65-1)*100))))</f>
        <v>-15.677966101694917</v>
      </c>
    </row>
    <row r="66" spans="1:12" ht="15.75" thickBot="1">
      <c r="A66" s="80"/>
      <c r="B66" s="179"/>
      <c r="C66" s="424">
        <f>SUM(C64:C65)</f>
        <v>1020</v>
      </c>
      <c r="D66" s="319">
        <f>SUM(D64:D65)</f>
        <v>1012</v>
      </c>
      <c r="E66" s="333">
        <f>IF(AND(C66=0,D66=0),0,IF(OR(AND(C66&gt;0,D66&lt;=0),AND(C66&lt;0,D66&gt;=0)),"nm",IF(AND(C66&lt;0,D66&lt;0),IF(-(C66/D66-1)*100&lt;-100,"(&gt;100)",-(C66/D66-1)*100),IF((C66/D66-1)*100&gt;100,"&gt;100",(C66/D66-1)*100))))</f>
        <v>0.7905138339920903</v>
      </c>
      <c r="F66" s="319">
        <f>SUM(F64:F65)</f>
        <v>1246</v>
      </c>
      <c r="G66" s="319">
        <v>917</v>
      </c>
      <c r="H66" s="319">
        <f>SUM(H64:H65)</f>
        <v>1012</v>
      </c>
      <c r="I66" s="337">
        <f>IF(AND(C66=0,F66=0),0,IF(OR(AND(C66&gt;0,F66&lt;=0),AND(C66&lt;0,F66&gt;=0)),"nm",IF(AND(C66&lt;0,F66&lt;0),IF(-(C66/F66-1)*100&lt;-100,"(&gt;100)",-(C66/F66-1)*100),IF((C66/F66-1)*100&gt;100,"&gt;100",(C66/F66-1)*100))))</f>
        <v>-18.13804173354735</v>
      </c>
      <c r="J66" s="424">
        <f>SUM(J64:J65)</f>
        <v>4147</v>
      </c>
      <c r="K66" s="319">
        <v>3255</v>
      </c>
      <c r="L66" s="333">
        <f>IF(AND(J66=0,K66=0),0,IF(OR(AND(J66&gt;0,K66&lt;=0),AND(J66&lt;0,K66&gt;=0)),"nm",IF(AND(J66&lt;0,K66&lt;0),IF(-(J66/K66-1)*100&lt;-100,"(&gt;100)",-(J66/K66-1)*100),IF((J66/K66-1)*100&gt;100,"&gt;100",(J66/K66-1)*100))))</f>
        <v>27.403993855606767</v>
      </c>
    </row>
    <row r="67" spans="1:12" ht="15.75" thickBot="1">
      <c r="A67" s="80"/>
      <c r="B67" s="183"/>
      <c r="C67" s="372"/>
      <c r="D67" s="224"/>
      <c r="E67" s="242"/>
      <c r="F67" s="224"/>
      <c r="G67" s="395"/>
      <c r="H67" s="395"/>
      <c r="I67" s="242"/>
      <c r="J67" s="379"/>
      <c r="K67" s="184"/>
      <c r="L67" s="242"/>
    </row>
    <row r="68" spans="1:12" ht="15" thickTop="1">
      <c r="A68" s="80"/>
      <c r="B68" s="80"/>
      <c r="C68" s="374"/>
      <c r="D68" s="238"/>
      <c r="E68" s="243"/>
      <c r="F68" s="218"/>
      <c r="G68" s="218"/>
      <c r="H68" s="218"/>
      <c r="I68" s="217"/>
      <c r="J68" s="380"/>
      <c r="K68" s="239"/>
      <c r="L68" s="217"/>
    </row>
    <row r="69" spans="1:12" ht="14.25">
      <c r="A69" s="80"/>
      <c r="B69" s="80"/>
      <c r="C69" s="374"/>
      <c r="D69" s="238"/>
      <c r="E69" s="243"/>
      <c r="F69" s="218"/>
      <c r="G69" s="218"/>
      <c r="H69" s="218"/>
      <c r="I69" s="217"/>
      <c r="J69" s="380"/>
      <c r="K69" s="215"/>
      <c r="L69" s="243"/>
    </row>
    <row r="70" spans="1:12" ht="14.25">
      <c r="A70" s="80"/>
      <c r="B70" s="80"/>
      <c r="C70" s="374"/>
      <c r="D70" s="238"/>
      <c r="E70" s="243"/>
      <c r="F70" s="218"/>
      <c r="G70" s="218"/>
      <c r="H70" s="218"/>
      <c r="I70" s="217"/>
      <c r="J70" s="380"/>
      <c r="K70" s="215"/>
      <c r="L70" s="243"/>
    </row>
    <row r="71" spans="1:12" ht="14.25">
      <c r="A71" s="80"/>
      <c r="B71" s="80"/>
      <c r="C71" s="374"/>
      <c r="D71" s="218"/>
      <c r="E71" s="217"/>
      <c r="F71" s="218"/>
      <c r="G71" s="218"/>
      <c r="H71" s="218"/>
      <c r="I71" s="217"/>
      <c r="J71" s="380"/>
      <c r="K71" s="215"/>
      <c r="L71" s="243"/>
    </row>
    <row r="72" spans="1:12" ht="14.25">
      <c r="A72" s="80"/>
      <c r="B72" s="80"/>
      <c r="C72" s="374"/>
      <c r="D72" s="218"/>
      <c r="E72" s="217"/>
      <c r="F72" s="218"/>
      <c r="G72" s="218"/>
      <c r="H72" s="218"/>
      <c r="I72" s="217"/>
      <c r="J72" s="380"/>
      <c r="K72" s="215"/>
      <c r="L72" s="243"/>
    </row>
    <row r="73" spans="3:12" ht="12.75">
      <c r="C73" s="375"/>
      <c r="D73" s="225"/>
      <c r="E73" s="252"/>
      <c r="F73" s="225"/>
      <c r="G73" s="225"/>
      <c r="H73" s="225"/>
      <c r="I73" s="252"/>
      <c r="J73" s="381"/>
      <c r="K73" s="240"/>
      <c r="L73" s="244"/>
    </row>
    <row r="74" spans="3:12" ht="12.75">
      <c r="C74" s="375"/>
      <c r="D74" s="225"/>
      <c r="E74" s="252"/>
      <c r="F74" s="225"/>
      <c r="G74" s="225"/>
      <c r="H74" s="225"/>
      <c r="I74" s="252"/>
      <c r="J74" s="381"/>
      <c r="K74" s="240"/>
      <c r="L74" s="244"/>
    </row>
    <row r="75" spans="3:12" ht="12.75">
      <c r="C75" s="375"/>
      <c r="D75" s="225"/>
      <c r="E75" s="252"/>
      <c r="F75" s="225"/>
      <c r="G75" s="225"/>
      <c r="H75" s="225"/>
      <c r="I75" s="252"/>
      <c r="J75" s="381"/>
      <c r="K75" s="240"/>
      <c r="L75" s="244"/>
    </row>
    <row r="76" spans="3:12" ht="12.75">
      <c r="C76" s="375"/>
      <c r="D76" s="225"/>
      <c r="E76" s="252"/>
      <c r="F76" s="225"/>
      <c r="G76" s="225"/>
      <c r="H76" s="225"/>
      <c r="I76" s="252"/>
      <c r="J76" s="381"/>
      <c r="K76" s="240"/>
      <c r="L76" s="244"/>
    </row>
    <row r="77" spans="3:12" ht="12.75">
      <c r="C77" s="375"/>
      <c r="D77" s="225"/>
      <c r="E77" s="252"/>
      <c r="F77" s="225"/>
      <c r="G77" s="225"/>
      <c r="H77" s="225"/>
      <c r="I77" s="252"/>
      <c r="J77" s="381"/>
      <c r="K77" s="240"/>
      <c r="L77" s="244"/>
    </row>
    <row r="78" spans="3:12" ht="12.75">
      <c r="C78" s="375"/>
      <c r="D78" s="225"/>
      <c r="E78" s="252"/>
      <c r="F78" s="225"/>
      <c r="G78" s="225"/>
      <c r="H78" s="225"/>
      <c r="I78" s="252"/>
      <c r="J78" s="240"/>
      <c r="K78" s="240"/>
      <c r="L78" s="244"/>
    </row>
    <row r="79" spans="3:12" ht="12.75">
      <c r="C79" s="375"/>
      <c r="D79" s="225"/>
      <c r="E79" s="252"/>
      <c r="F79" s="225"/>
      <c r="G79" s="225"/>
      <c r="H79" s="225"/>
      <c r="I79" s="252"/>
      <c r="J79" s="240"/>
      <c r="K79" s="240"/>
      <c r="L79" s="244"/>
    </row>
    <row r="80" spans="3:12" ht="12.75">
      <c r="C80" s="375"/>
      <c r="D80" s="225"/>
      <c r="E80" s="252"/>
      <c r="F80" s="225"/>
      <c r="G80" s="225"/>
      <c r="H80" s="225"/>
      <c r="I80" s="252"/>
      <c r="J80" s="240"/>
      <c r="K80" s="240"/>
      <c r="L80" s="244"/>
    </row>
    <row r="81" spans="3:12" ht="12.75">
      <c r="C81" s="375"/>
      <c r="D81" s="225"/>
      <c r="E81" s="252"/>
      <c r="F81" s="225"/>
      <c r="G81" s="225"/>
      <c r="H81" s="225"/>
      <c r="I81" s="252"/>
      <c r="J81" s="240"/>
      <c r="K81" s="240"/>
      <c r="L81" s="240"/>
    </row>
    <row r="82" spans="3:12" ht="12.75">
      <c r="C82" s="375"/>
      <c r="D82" s="225"/>
      <c r="E82" s="252"/>
      <c r="F82" s="225"/>
      <c r="G82" s="225"/>
      <c r="H82" s="225"/>
      <c r="I82" s="252"/>
      <c r="J82" s="240"/>
      <c r="K82" s="240"/>
      <c r="L82" s="240"/>
    </row>
    <row r="83" spans="3:12" ht="12.75">
      <c r="C83" s="375"/>
      <c r="D83" s="225"/>
      <c r="E83" s="252"/>
      <c r="F83" s="225"/>
      <c r="G83" s="225"/>
      <c r="H83" s="225"/>
      <c r="I83" s="252"/>
      <c r="J83" s="240"/>
      <c r="K83" s="240"/>
      <c r="L83" s="240"/>
    </row>
    <row r="84" spans="3:12" ht="12.75">
      <c r="C84" s="375"/>
      <c r="D84" s="225"/>
      <c r="E84" s="252"/>
      <c r="F84" s="225"/>
      <c r="G84" s="225"/>
      <c r="H84" s="225"/>
      <c r="I84" s="252"/>
      <c r="J84" s="240"/>
      <c r="K84" s="240"/>
      <c r="L84" s="240"/>
    </row>
    <row r="85" spans="3:12" ht="12.75">
      <c r="C85" s="375"/>
      <c r="D85" s="225"/>
      <c r="E85" s="252"/>
      <c r="F85" s="225"/>
      <c r="G85" s="225"/>
      <c r="H85" s="225"/>
      <c r="I85" s="252"/>
      <c r="J85" s="240"/>
      <c r="K85" s="240"/>
      <c r="L85" s="240"/>
    </row>
    <row r="86" spans="3:12" ht="12.75">
      <c r="C86" s="375"/>
      <c r="D86" s="225"/>
      <c r="E86" s="252"/>
      <c r="F86" s="225"/>
      <c r="G86" s="225"/>
      <c r="H86" s="225"/>
      <c r="I86" s="252"/>
      <c r="J86" s="240"/>
      <c r="K86" s="240"/>
      <c r="L86" s="240"/>
    </row>
    <row r="87" spans="3:12" ht="12.75">
      <c r="C87" s="375"/>
      <c r="D87" s="225"/>
      <c r="E87" s="252"/>
      <c r="F87" s="225"/>
      <c r="G87" s="225"/>
      <c r="H87" s="225"/>
      <c r="I87" s="252"/>
      <c r="J87" s="240"/>
      <c r="K87" s="240"/>
      <c r="L87" s="240"/>
    </row>
    <row r="88" spans="3:12" ht="12.75">
      <c r="C88" s="375"/>
      <c r="D88" s="225"/>
      <c r="E88" s="252"/>
      <c r="F88" s="225"/>
      <c r="G88" s="225"/>
      <c r="H88" s="225"/>
      <c r="I88" s="252"/>
      <c r="J88" s="240"/>
      <c r="K88" s="240"/>
      <c r="L88" s="240"/>
    </row>
    <row r="89" spans="3:12" ht="12.75">
      <c r="C89" s="375"/>
      <c r="D89" s="225"/>
      <c r="E89" s="252"/>
      <c r="F89" s="225"/>
      <c r="G89" s="225"/>
      <c r="H89" s="225"/>
      <c r="I89" s="252"/>
      <c r="J89" s="240"/>
      <c r="K89" s="240"/>
      <c r="L89" s="240"/>
    </row>
    <row r="90" spans="3:12" ht="12.75">
      <c r="C90" s="375"/>
      <c r="D90" s="225"/>
      <c r="E90" s="252"/>
      <c r="F90" s="225"/>
      <c r="G90" s="225"/>
      <c r="H90" s="225"/>
      <c r="I90" s="252"/>
      <c r="J90" s="240"/>
      <c r="K90" s="240"/>
      <c r="L90" s="240"/>
    </row>
    <row r="91" spans="3:12" ht="12.75">
      <c r="C91" s="375"/>
      <c r="D91" s="225"/>
      <c r="E91" s="252"/>
      <c r="F91" s="225"/>
      <c r="G91" s="225"/>
      <c r="H91" s="225"/>
      <c r="I91" s="252"/>
      <c r="J91" s="240"/>
      <c r="K91" s="240"/>
      <c r="L91" s="240"/>
    </row>
    <row r="92" spans="3:12" ht="12.75">
      <c r="C92" s="375"/>
      <c r="D92" s="225"/>
      <c r="E92" s="252"/>
      <c r="F92" s="225"/>
      <c r="G92" s="225"/>
      <c r="H92" s="225"/>
      <c r="I92" s="252"/>
      <c r="J92" s="240"/>
      <c r="K92" s="240"/>
      <c r="L92" s="240"/>
    </row>
    <row r="93" spans="3:12" ht="12.75">
      <c r="C93" s="375"/>
      <c r="D93" s="225"/>
      <c r="E93" s="252"/>
      <c r="F93" s="225"/>
      <c r="G93" s="225"/>
      <c r="H93" s="225"/>
      <c r="I93" s="252"/>
      <c r="J93" s="240"/>
      <c r="K93" s="240"/>
      <c r="L93" s="240"/>
    </row>
    <row r="94" spans="3:12" ht="12.75">
      <c r="C94" s="375"/>
      <c r="D94" s="225"/>
      <c r="E94" s="252"/>
      <c r="F94" s="225"/>
      <c r="G94" s="225"/>
      <c r="H94" s="225"/>
      <c r="I94" s="252"/>
      <c r="J94" s="240"/>
      <c r="K94" s="240"/>
      <c r="L94" s="240"/>
    </row>
    <row r="95" spans="3:12" ht="12.75">
      <c r="C95" s="375"/>
      <c r="D95" s="225"/>
      <c r="E95" s="252"/>
      <c r="F95" s="225"/>
      <c r="G95" s="225"/>
      <c r="H95" s="225"/>
      <c r="I95" s="252"/>
      <c r="J95" s="240"/>
      <c r="K95" s="240"/>
      <c r="L95" s="240"/>
    </row>
    <row r="96" spans="3:12" ht="12.75">
      <c r="C96" s="375"/>
      <c r="D96" s="225"/>
      <c r="E96" s="252"/>
      <c r="F96" s="225"/>
      <c r="G96" s="225"/>
      <c r="H96" s="225"/>
      <c r="I96" s="252"/>
      <c r="J96" s="240"/>
      <c r="K96" s="240"/>
      <c r="L96" s="240"/>
    </row>
    <row r="97" spans="3:12" ht="12.75">
      <c r="C97" s="375"/>
      <c r="D97" s="225"/>
      <c r="E97" s="252"/>
      <c r="F97" s="225"/>
      <c r="G97" s="225"/>
      <c r="H97" s="225"/>
      <c r="I97" s="252"/>
      <c r="J97" s="240"/>
      <c r="K97" s="240"/>
      <c r="L97" s="240"/>
    </row>
    <row r="98" spans="3:12" ht="12.75">
      <c r="C98" s="375"/>
      <c r="D98" s="225"/>
      <c r="E98" s="252"/>
      <c r="F98" s="225"/>
      <c r="G98" s="225"/>
      <c r="H98" s="225"/>
      <c r="I98" s="252"/>
      <c r="J98" s="240"/>
      <c r="K98" s="240"/>
      <c r="L98" s="240"/>
    </row>
    <row r="99" spans="3:12" ht="12.75">
      <c r="C99" s="375"/>
      <c r="D99" s="225"/>
      <c r="E99" s="252"/>
      <c r="F99" s="225"/>
      <c r="G99" s="225"/>
      <c r="H99" s="225"/>
      <c r="I99" s="252"/>
      <c r="J99" s="240"/>
      <c r="K99" s="240"/>
      <c r="L99" s="240"/>
    </row>
    <row r="100" spans="3:12" ht="12.75">
      <c r="C100" s="375"/>
      <c r="D100" s="225"/>
      <c r="E100" s="252"/>
      <c r="F100" s="225"/>
      <c r="G100" s="225"/>
      <c r="H100" s="225"/>
      <c r="I100" s="252"/>
      <c r="J100" s="240"/>
      <c r="K100" s="240"/>
      <c r="L100" s="240"/>
    </row>
    <row r="101" spans="3:12" ht="12.75">
      <c r="C101" s="375"/>
      <c r="D101" s="225"/>
      <c r="E101" s="252"/>
      <c r="F101" s="225"/>
      <c r="G101" s="225"/>
      <c r="H101" s="225"/>
      <c r="I101" s="252"/>
      <c r="J101" s="240"/>
      <c r="K101" s="240"/>
      <c r="L101" s="240"/>
    </row>
    <row r="102" spans="3:12" ht="12.75">
      <c r="C102" s="375"/>
      <c r="D102" s="225"/>
      <c r="E102" s="252"/>
      <c r="F102" s="225"/>
      <c r="G102" s="225"/>
      <c r="H102" s="225"/>
      <c r="I102" s="252"/>
      <c r="J102" s="240"/>
      <c r="K102" s="240"/>
      <c r="L102" s="240"/>
    </row>
    <row r="103" spans="3:12" ht="12.75">
      <c r="C103" s="375"/>
      <c r="D103" s="225"/>
      <c r="E103" s="252"/>
      <c r="F103" s="225"/>
      <c r="G103" s="225"/>
      <c r="H103" s="225"/>
      <c r="I103" s="252"/>
      <c r="J103" s="240"/>
      <c r="K103" s="240"/>
      <c r="L103" s="240"/>
    </row>
    <row r="104" spans="3:12" ht="12.75">
      <c r="C104" s="375"/>
      <c r="D104" s="225"/>
      <c r="E104" s="252"/>
      <c r="F104" s="225"/>
      <c r="G104" s="225"/>
      <c r="H104" s="225"/>
      <c r="I104" s="252"/>
      <c r="J104" s="240"/>
      <c r="K104" s="240"/>
      <c r="L104" s="240"/>
    </row>
    <row r="105" spans="3:12" ht="12.75">
      <c r="C105" s="375"/>
      <c r="D105" s="225"/>
      <c r="E105" s="252"/>
      <c r="F105" s="225"/>
      <c r="G105" s="225"/>
      <c r="H105" s="225"/>
      <c r="I105" s="252"/>
      <c r="J105" s="240"/>
      <c r="K105" s="240"/>
      <c r="L105" s="240"/>
    </row>
    <row r="106" spans="3:12" ht="12.75">
      <c r="C106" s="375"/>
      <c r="D106" s="225"/>
      <c r="E106" s="252"/>
      <c r="F106" s="225"/>
      <c r="G106" s="225"/>
      <c r="H106" s="225"/>
      <c r="I106" s="252"/>
      <c r="J106" s="240"/>
      <c r="K106" s="240"/>
      <c r="L106" s="240"/>
    </row>
    <row r="107" spans="3:12" ht="12.75">
      <c r="C107" s="375"/>
      <c r="D107" s="225"/>
      <c r="E107" s="252"/>
      <c r="F107" s="225"/>
      <c r="G107" s="225"/>
      <c r="H107" s="225"/>
      <c r="I107" s="252"/>
      <c r="J107" s="240"/>
      <c r="K107" s="240"/>
      <c r="L107" s="240"/>
    </row>
    <row r="108" spans="3:12" ht="12.75">
      <c r="C108" s="375"/>
      <c r="D108" s="225"/>
      <c r="E108" s="252"/>
      <c r="F108" s="225"/>
      <c r="G108" s="225"/>
      <c r="H108" s="225"/>
      <c r="I108" s="252"/>
      <c r="J108" s="240"/>
      <c r="K108" s="240"/>
      <c r="L108" s="240"/>
    </row>
    <row r="109" spans="3:12" ht="12.75">
      <c r="C109" s="375"/>
      <c r="D109" s="225"/>
      <c r="E109" s="252"/>
      <c r="F109" s="225"/>
      <c r="G109" s="225"/>
      <c r="H109" s="225"/>
      <c r="I109" s="252"/>
      <c r="J109" s="240"/>
      <c r="K109" s="240"/>
      <c r="L109" s="240"/>
    </row>
    <row r="110" spans="3:12" ht="12.75">
      <c r="C110" s="375"/>
      <c r="D110" s="225"/>
      <c r="E110" s="252"/>
      <c r="F110" s="225"/>
      <c r="G110" s="225"/>
      <c r="H110" s="225"/>
      <c r="I110" s="252"/>
      <c r="J110" s="240"/>
      <c r="K110" s="240"/>
      <c r="L110" s="240"/>
    </row>
    <row r="111" spans="3:12" ht="12.75">
      <c r="C111" s="375"/>
      <c r="D111" s="225"/>
      <c r="E111" s="252"/>
      <c r="F111" s="225"/>
      <c r="G111" s="225"/>
      <c r="H111" s="225"/>
      <c r="I111" s="252"/>
      <c r="J111" s="240"/>
      <c r="K111" s="240"/>
      <c r="L111" s="240"/>
    </row>
    <row r="112" spans="3:12" ht="12.75">
      <c r="C112" s="375"/>
      <c r="D112" s="225"/>
      <c r="E112" s="252"/>
      <c r="F112" s="225"/>
      <c r="G112" s="225"/>
      <c r="H112" s="225"/>
      <c r="I112" s="252"/>
      <c r="J112" s="240"/>
      <c r="K112" s="240"/>
      <c r="L112" s="240"/>
    </row>
    <row r="113" spans="3:12" ht="12.75">
      <c r="C113" s="375"/>
      <c r="D113" s="225"/>
      <c r="E113" s="252"/>
      <c r="F113" s="225"/>
      <c r="G113" s="225"/>
      <c r="H113" s="225"/>
      <c r="I113" s="252"/>
      <c r="J113" s="240"/>
      <c r="K113" s="240"/>
      <c r="L113" s="240"/>
    </row>
    <row r="114" spans="3:12" ht="12.75">
      <c r="C114" s="375"/>
      <c r="D114" s="225"/>
      <c r="E114" s="252"/>
      <c r="F114" s="225"/>
      <c r="G114" s="225"/>
      <c r="H114" s="225"/>
      <c r="I114" s="252"/>
      <c r="J114" s="240"/>
      <c r="K114" s="240"/>
      <c r="L114" s="240"/>
    </row>
    <row r="115" spans="3:12" ht="12.75">
      <c r="C115" s="375"/>
      <c r="D115" s="225"/>
      <c r="E115" s="252"/>
      <c r="F115" s="225"/>
      <c r="G115" s="225"/>
      <c r="H115" s="225"/>
      <c r="I115" s="252"/>
      <c r="J115" s="240"/>
      <c r="K115" s="240"/>
      <c r="L115" s="240"/>
    </row>
    <row r="116" spans="3:12" ht="12.75">
      <c r="C116" s="375"/>
      <c r="D116" s="225"/>
      <c r="E116" s="252"/>
      <c r="F116" s="225"/>
      <c r="G116" s="225"/>
      <c r="H116" s="225"/>
      <c r="I116" s="252"/>
      <c r="J116" s="240"/>
      <c r="K116" s="240"/>
      <c r="L116" s="240"/>
    </row>
    <row r="117" spans="3:12" ht="12.75">
      <c r="C117" s="375"/>
      <c r="D117" s="225"/>
      <c r="E117" s="252"/>
      <c r="F117" s="225"/>
      <c r="G117" s="225"/>
      <c r="H117" s="225"/>
      <c r="I117" s="252"/>
      <c r="J117" s="240"/>
      <c r="K117" s="240"/>
      <c r="L117" s="240"/>
    </row>
    <row r="118" spans="3:12" ht="12.75">
      <c r="C118" s="375"/>
      <c r="D118" s="225"/>
      <c r="E118" s="252"/>
      <c r="F118" s="225"/>
      <c r="G118" s="225"/>
      <c r="H118" s="225"/>
      <c r="I118" s="252"/>
      <c r="J118" s="240"/>
      <c r="K118" s="240"/>
      <c r="L118" s="240"/>
    </row>
    <row r="119" spans="3:12" ht="12.75">
      <c r="C119" s="375"/>
      <c r="D119" s="225"/>
      <c r="E119" s="252"/>
      <c r="F119" s="225"/>
      <c r="G119" s="225"/>
      <c r="H119" s="225"/>
      <c r="I119" s="252"/>
      <c r="J119" s="240"/>
      <c r="K119" s="240"/>
      <c r="L119" s="240"/>
    </row>
    <row r="120" spans="3:12" ht="12.75">
      <c r="C120" s="375"/>
      <c r="D120" s="225"/>
      <c r="E120" s="252"/>
      <c r="F120" s="225"/>
      <c r="G120" s="225"/>
      <c r="H120" s="225"/>
      <c r="I120" s="252"/>
      <c r="J120" s="240"/>
      <c r="K120" s="240"/>
      <c r="L120" s="240"/>
    </row>
    <row r="121" spans="3:12" ht="12.75">
      <c r="C121" s="375"/>
      <c r="D121" s="225"/>
      <c r="E121" s="252"/>
      <c r="F121" s="225"/>
      <c r="G121" s="225"/>
      <c r="H121" s="225"/>
      <c r="I121" s="252"/>
      <c r="J121" s="240"/>
      <c r="K121" s="240"/>
      <c r="L121" s="240"/>
    </row>
    <row r="122" spans="3:12" ht="12.75">
      <c r="C122" s="375"/>
      <c r="D122" s="225"/>
      <c r="E122" s="252"/>
      <c r="F122" s="225"/>
      <c r="G122" s="225"/>
      <c r="H122" s="225"/>
      <c r="I122" s="252"/>
      <c r="J122" s="240"/>
      <c r="K122" s="240"/>
      <c r="L122" s="240"/>
    </row>
    <row r="123" spans="3:12" ht="12.75">
      <c r="C123" s="375"/>
      <c r="D123" s="225"/>
      <c r="E123" s="252"/>
      <c r="F123" s="225"/>
      <c r="G123" s="225"/>
      <c r="H123" s="225"/>
      <c r="I123" s="252"/>
      <c r="J123" s="240"/>
      <c r="K123" s="240"/>
      <c r="L123" s="240"/>
    </row>
    <row r="124" spans="3:12" ht="12.75">
      <c r="C124" s="375"/>
      <c r="D124" s="225"/>
      <c r="E124" s="252"/>
      <c r="F124" s="225"/>
      <c r="G124" s="225"/>
      <c r="H124" s="225"/>
      <c r="I124" s="252"/>
      <c r="J124" s="240"/>
      <c r="K124" s="240"/>
      <c r="L124" s="240"/>
    </row>
    <row r="125" spans="3:12" ht="12.75">
      <c r="C125" s="375"/>
      <c r="D125" s="225"/>
      <c r="E125" s="252"/>
      <c r="F125" s="225"/>
      <c r="G125" s="225"/>
      <c r="H125" s="225"/>
      <c r="I125" s="252"/>
      <c r="J125" s="240"/>
      <c r="K125" s="240"/>
      <c r="L125" s="240"/>
    </row>
    <row r="126" spans="3:12" ht="12.75">
      <c r="C126" s="375"/>
      <c r="D126" s="225"/>
      <c r="E126" s="252"/>
      <c r="F126" s="225"/>
      <c r="G126" s="225"/>
      <c r="H126" s="225"/>
      <c r="I126" s="252"/>
      <c r="J126" s="240"/>
      <c r="K126" s="240"/>
      <c r="L126" s="240"/>
    </row>
    <row r="127" spans="3:12" ht="12.75">
      <c r="C127" s="375"/>
      <c r="D127" s="225"/>
      <c r="E127" s="252"/>
      <c r="F127" s="225"/>
      <c r="G127" s="225"/>
      <c r="H127" s="225"/>
      <c r="I127" s="252"/>
      <c r="J127" s="240"/>
      <c r="K127" s="240"/>
      <c r="L127" s="240"/>
    </row>
    <row r="128" spans="3:12" ht="12.75">
      <c r="C128" s="375"/>
      <c r="D128" s="225"/>
      <c r="E128" s="252"/>
      <c r="F128" s="225"/>
      <c r="G128" s="225"/>
      <c r="H128" s="225"/>
      <c r="I128" s="252"/>
      <c r="J128" s="240"/>
      <c r="K128" s="240"/>
      <c r="L128" s="240"/>
    </row>
    <row r="129" spans="3:12" ht="12.75">
      <c r="C129" s="375"/>
      <c r="D129" s="225"/>
      <c r="E129" s="252"/>
      <c r="F129" s="225"/>
      <c r="G129" s="225"/>
      <c r="H129" s="225"/>
      <c r="I129" s="252"/>
      <c r="J129" s="240"/>
      <c r="K129" s="240"/>
      <c r="L129" s="240"/>
    </row>
    <row r="130" spans="3:12" ht="12.75">
      <c r="C130" s="375"/>
      <c r="D130" s="225"/>
      <c r="E130" s="252"/>
      <c r="F130" s="225"/>
      <c r="G130" s="225"/>
      <c r="H130" s="225"/>
      <c r="I130" s="252"/>
      <c r="J130" s="240"/>
      <c r="K130" s="240"/>
      <c r="L130" s="240"/>
    </row>
    <row r="131" spans="3:12" ht="12.75">
      <c r="C131" s="375"/>
      <c r="D131" s="225"/>
      <c r="E131" s="252"/>
      <c r="F131" s="225"/>
      <c r="G131" s="225"/>
      <c r="H131" s="225"/>
      <c r="I131" s="252"/>
      <c r="J131" s="240"/>
      <c r="K131" s="240"/>
      <c r="L131" s="240"/>
    </row>
    <row r="132" spans="3:12" ht="12.75">
      <c r="C132" s="375"/>
      <c r="D132" s="225"/>
      <c r="E132" s="252"/>
      <c r="F132" s="225"/>
      <c r="G132" s="225"/>
      <c r="H132" s="225"/>
      <c r="I132" s="252"/>
      <c r="J132" s="240"/>
      <c r="K132" s="240"/>
      <c r="L132" s="240"/>
    </row>
    <row r="133" spans="3:12" ht="12.75">
      <c r="C133" s="375"/>
      <c r="D133" s="225"/>
      <c r="E133" s="252"/>
      <c r="F133" s="225"/>
      <c r="G133" s="225"/>
      <c r="H133" s="225"/>
      <c r="I133" s="252"/>
      <c r="J133" s="240"/>
      <c r="K133" s="240"/>
      <c r="L133" s="240"/>
    </row>
    <row r="134" spans="3:12" ht="12.75">
      <c r="C134" s="375"/>
      <c r="D134" s="225"/>
      <c r="E134" s="252"/>
      <c r="F134" s="225"/>
      <c r="G134" s="225"/>
      <c r="H134" s="225"/>
      <c r="I134" s="252"/>
      <c r="J134" s="240"/>
      <c r="K134" s="240"/>
      <c r="L134" s="240"/>
    </row>
    <row r="135" spans="3:12" ht="12.75">
      <c r="C135" s="375"/>
      <c r="D135" s="225"/>
      <c r="E135" s="252"/>
      <c r="F135" s="225"/>
      <c r="G135" s="225"/>
      <c r="H135" s="225"/>
      <c r="I135" s="252"/>
      <c r="J135" s="240"/>
      <c r="K135" s="240"/>
      <c r="L135" s="240"/>
    </row>
    <row r="136" spans="3:12" ht="12.75">
      <c r="C136" s="375"/>
      <c r="D136" s="225"/>
      <c r="E136" s="252"/>
      <c r="F136" s="225"/>
      <c r="G136" s="225"/>
      <c r="H136" s="225"/>
      <c r="I136" s="252"/>
      <c r="J136" s="240"/>
      <c r="K136" s="240"/>
      <c r="L136" s="240"/>
    </row>
    <row r="137" spans="3:12" ht="12.75">
      <c r="C137" s="375"/>
      <c r="D137" s="225"/>
      <c r="E137" s="252"/>
      <c r="F137" s="225"/>
      <c r="G137" s="225"/>
      <c r="H137" s="225"/>
      <c r="I137" s="252"/>
      <c r="J137" s="240"/>
      <c r="K137" s="240"/>
      <c r="L137" s="240"/>
    </row>
    <row r="138" spans="3:12" ht="12.75">
      <c r="C138" s="375"/>
      <c r="D138" s="225"/>
      <c r="E138" s="252"/>
      <c r="F138" s="225"/>
      <c r="G138" s="225"/>
      <c r="H138" s="225"/>
      <c r="I138" s="252"/>
      <c r="J138" s="240"/>
      <c r="K138" s="240"/>
      <c r="L138" s="240"/>
    </row>
    <row r="139" spans="3:12" ht="12.75">
      <c r="C139" s="375"/>
      <c r="D139" s="225"/>
      <c r="E139" s="252"/>
      <c r="F139" s="225"/>
      <c r="G139" s="225"/>
      <c r="H139" s="225"/>
      <c r="I139" s="252"/>
      <c r="J139" s="240"/>
      <c r="K139" s="240"/>
      <c r="L139" s="240"/>
    </row>
    <row r="140" spans="3:12" ht="12.75">
      <c r="C140" s="375"/>
      <c r="D140" s="225"/>
      <c r="E140" s="252"/>
      <c r="F140" s="225"/>
      <c r="G140" s="225"/>
      <c r="H140" s="225"/>
      <c r="I140" s="252"/>
      <c r="J140" s="240"/>
      <c r="K140" s="240"/>
      <c r="L140" s="240"/>
    </row>
    <row r="141" spans="3:12" ht="12.75">
      <c r="C141" s="375"/>
      <c r="D141" s="225"/>
      <c r="E141" s="252"/>
      <c r="F141" s="225"/>
      <c r="G141" s="225"/>
      <c r="H141" s="225"/>
      <c r="I141" s="252"/>
      <c r="J141" s="240"/>
      <c r="K141" s="240"/>
      <c r="L141" s="240"/>
    </row>
    <row r="142" spans="3:12" ht="12.75">
      <c r="C142" s="375"/>
      <c r="D142" s="225"/>
      <c r="E142" s="252"/>
      <c r="F142" s="225"/>
      <c r="G142" s="225"/>
      <c r="H142" s="225"/>
      <c r="I142" s="252"/>
      <c r="J142" s="240"/>
      <c r="K142" s="240"/>
      <c r="L142" s="240"/>
    </row>
    <row r="143" spans="3:12" ht="12.75">
      <c r="C143" s="375"/>
      <c r="D143" s="225"/>
      <c r="E143" s="252"/>
      <c r="F143" s="225"/>
      <c r="G143" s="225"/>
      <c r="H143" s="225"/>
      <c r="I143" s="252"/>
      <c r="J143" s="240"/>
      <c r="K143" s="240"/>
      <c r="L143" s="240"/>
    </row>
    <row r="144" spans="3:12" ht="12.75">
      <c r="C144" s="375"/>
      <c r="D144" s="225"/>
      <c r="E144" s="252"/>
      <c r="F144" s="225"/>
      <c r="G144" s="225"/>
      <c r="H144" s="225"/>
      <c r="I144" s="252"/>
      <c r="J144" s="240"/>
      <c r="K144" s="240"/>
      <c r="L144" s="240"/>
    </row>
    <row r="145" spans="3:12" ht="12.75">
      <c r="C145" s="375"/>
      <c r="D145" s="225"/>
      <c r="E145" s="252"/>
      <c r="F145" s="225"/>
      <c r="G145" s="225"/>
      <c r="H145" s="225"/>
      <c r="I145" s="252"/>
      <c r="J145" s="240"/>
      <c r="K145" s="240"/>
      <c r="L145" s="240"/>
    </row>
    <row r="146" spans="3:12" ht="12.75">
      <c r="C146" s="375"/>
      <c r="D146" s="225"/>
      <c r="E146" s="252"/>
      <c r="F146" s="225"/>
      <c r="G146" s="225"/>
      <c r="H146" s="225"/>
      <c r="I146" s="252"/>
      <c r="J146" s="240"/>
      <c r="K146" s="240"/>
      <c r="L146" s="240"/>
    </row>
    <row r="147" spans="3:12" ht="12.75">
      <c r="C147" s="375"/>
      <c r="D147" s="225"/>
      <c r="E147" s="252"/>
      <c r="F147" s="225"/>
      <c r="G147" s="225"/>
      <c r="H147" s="225"/>
      <c r="I147" s="252"/>
      <c r="J147" s="240"/>
      <c r="K147" s="240"/>
      <c r="L147" s="240"/>
    </row>
    <row r="148" spans="3:12" ht="12.75">
      <c r="C148" s="375"/>
      <c r="D148" s="225"/>
      <c r="E148" s="252"/>
      <c r="F148" s="225"/>
      <c r="G148" s="225"/>
      <c r="H148" s="225"/>
      <c r="I148" s="252"/>
      <c r="J148" s="240"/>
      <c r="K148" s="240"/>
      <c r="L148" s="240"/>
    </row>
    <row r="149" spans="3:12" ht="12.75">
      <c r="C149" s="375"/>
      <c r="D149" s="225"/>
      <c r="E149" s="252"/>
      <c r="F149" s="225"/>
      <c r="G149" s="225"/>
      <c r="H149" s="225"/>
      <c r="I149" s="252"/>
      <c r="J149" s="240"/>
      <c r="K149" s="240"/>
      <c r="L149" s="240"/>
    </row>
    <row r="150" spans="3:12" ht="12.75">
      <c r="C150" s="375"/>
      <c r="D150" s="225"/>
      <c r="E150" s="252"/>
      <c r="F150" s="225"/>
      <c r="G150" s="225"/>
      <c r="H150" s="225"/>
      <c r="I150" s="252"/>
      <c r="J150" s="240"/>
      <c r="K150" s="240"/>
      <c r="L150" s="240"/>
    </row>
    <row r="151" spans="3:12" ht="12.75">
      <c r="C151" s="375"/>
      <c r="D151" s="225"/>
      <c r="E151" s="252"/>
      <c r="F151" s="225"/>
      <c r="G151" s="225"/>
      <c r="H151" s="225"/>
      <c r="I151" s="252"/>
      <c r="J151" s="240"/>
      <c r="K151" s="240"/>
      <c r="L151" s="240"/>
    </row>
    <row r="152" spans="3:12" ht="12.75">
      <c r="C152" s="375"/>
      <c r="D152" s="225"/>
      <c r="E152" s="252"/>
      <c r="F152" s="225"/>
      <c r="G152" s="225"/>
      <c r="H152" s="225"/>
      <c r="I152" s="252"/>
      <c r="J152" s="240"/>
      <c r="K152" s="240"/>
      <c r="L152" s="240"/>
    </row>
    <row r="153" spans="3:12" ht="12.75">
      <c r="C153" s="375"/>
      <c r="D153" s="225"/>
      <c r="E153" s="252"/>
      <c r="F153" s="225"/>
      <c r="G153" s="225"/>
      <c r="H153" s="225"/>
      <c r="I153" s="252"/>
      <c r="J153" s="240"/>
      <c r="K153" s="240"/>
      <c r="L153" s="240"/>
    </row>
    <row r="154" spans="3:12" ht="12.75">
      <c r="C154" s="375"/>
      <c r="D154" s="225"/>
      <c r="E154" s="252"/>
      <c r="F154" s="225"/>
      <c r="G154" s="225"/>
      <c r="H154" s="225"/>
      <c r="I154" s="252"/>
      <c r="J154" s="240"/>
      <c r="K154" s="240"/>
      <c r="L154" s="240"/>
    </row>
    <row r="155" spans="3:12" ht="12.75">
      <c r="C155" s="375"/>
      <c r="D155" s="225"/>
      <c r="E155" s="252"/>
      <c r="F155" s="225"/>
      <c r="G155" s="225"/>
      <c r="H155" s="225"/>
      <c r="I155" s="252"/>
      <c r="J155" s="240"/>
      <c r="K155" s="240"/>
      <c r="L155" s="240"/>
    </row>
    <row r="156" spans="3:12" ht="12.75">
      <c r="C156" s="375"/>
      <c r="D156" s="225"/>
      <c r="E156" s="252"/>
      <c r="F156" s="225"/>
      <c r="G156" s="225"/>
      <c r="H156" s="225"/>
      <c r="I156" s="252"/>
      <c r="J156" s="240"/>
      <c r="K156" s="240"/>
      <c r="L156" s="240"/>
    </row>
    <row r="157" spans="3:12" ht="12.75">
      <c r="C157" s="375"/>
      <c r="D157" s="225"/>
      <c r="E157" s="252"/>
      <c r="F157" s="225"/>
      <c r="G157" s="225"/>
      <c r="H157" s="225"/>
      <c r="I157" s="252"/>
      <c r="J157" s="240"/>
      <c r="K157" s="240"/>
      <c r="L157" s="240"/>
    </row>
    <row r="158" spans="3:12" ht="12.75">
      <c r="C158" s="375"/>
      <c r="D158" s="225"/>
      <c r="E158" s="252"/>
      <c r="F158" s="225"/>
      <c r="G158" s="225"/>
      <c r="H158" s="225"/>
      <c r="I158" s="252"/>
      <c r="J158" s="240"/>
      <c r="K158" s="240"/>
      <c r="L158" s="240"/>
    </row>
    <row r="159" spans="3:12" ht="12.75">
      <c r="C159" s="225"/>
      <c r="D159" s="225"/>
      <c r="E159" s="252"/>
      <c r="F159" s="225"/>
      <c r="G159" s="225"/>
      <c r="H159" s="225"/>
      <c r="I159" s="252"/>
      <c r="J159" s="240"/>
      <c r="K159" s="240"/>
      <c r="L159" s="240"/>
    </row>
    <row r="160" spans="3:12" ht="12.75">
      <c r="C160" s="225"/>
      <c r="D160" s="225"/>
      <c r="E160" s="252"/>
      <c r="F160" s="225"/>
      <c r="G160" s="225"/>
      <c r="H160" s="225"/>
      <c r="I160" s="252"/>
      <c r="J160" s="240"/>
      <c r="K160" s="240"/>
      <c r="L160" s="240"/>
    </row>
    <row r="161" spans="3:12" ht="12.75">
      <c r="C161" s="225"/>
      <c r="D161" s="225"/>
      <c r="E161" s="252"/>
      <c r="F161" s="225"/>
      <c r="G161" s="225"/>
      <c r="H161" s="225"/>
      <c r="I161" s="252"/>
      <c r="J161" s="240"/>
      <c r="K161" s="240"/>
      <c r="L161" s="240"/>
    </row>
    <row r="162" spans="3:12" ht="12.75">
      <c r="C162" s="225"/>
      <c r="D162" s="225"/>
      <c r="E162" s="252"/>
      <c r="F162" s="225"/>
      <c r="G162" s="225"/>
      <c r="H162" s="225"/>
      <c r="I162" s="252"/>
      <c r="J162" s="240"/>
      <c r="K162" s="240"/>
      <c r="L162" s="240"/>
    </row>
    <row r="163" spans="3:12" ht="12.75">
      <c r="C163" s="225"/>
      <c r="D163" s="225"/>
      <c r="E163" s="252"/>
      <c r="F163" s="225"/>
      <c r="G163" s="225"/>
      <c r="H163" s="225"/>
      <c r="I163" s="252"/>
      <c r="J163" s="240"/>
      <c r="K163" s="240"/>
      <c r="L163" s="240"/>
    </row>
    <row r="164" spans="3:12" ht="12.75">
      <c r="C164" s="225"/>
      <c r="D164" s="225"/>
      <c r="E164" s="252"/>
      <c r="F164" s="225"/>
      <c r="G164" s="225"/>
      <c r="H164" s="225"/>
      <c r="I164" s="252"/>
      <c r="J164" s="240"/>
      <c r="K164" s="240"/>
      <c r="L164" s="240"/>
    </row>
    <row r="165" spans="3:12" ht="12.75">
      <c r="C165" s="225"/>
      <c r="D165" s="225"/>
      <c r="E165" s="252"/>
      <c r="F165" s="225"/>
      <c r="G165" s="225"/>
      <c r="H165" s="225"/>
      <c r="I165" s="252"/>
      <c r="J165" s="240"/>
      <c r="K165" s="240"/>
      <c r="L165" s="240"/>
    </row>
    <row r="166" spans="3:12" ht="12.75">
      <c r="C166" s="225"/>
      <c r="D166" s="225"/>
      <c r="E166" s="252"/>
      <c r="F166" s="225"/>
      <c r="G166" s="225"/>
      <c r="H166" s="225"/>
      <c r="I166" s="252"/>
      <c r="J166" s="240"/>
      <c r="K166" s="240"/>
      <c r="L166" s="240"/>
    </row>
    <row r="167" spans="3:12" ht="12.75">
      <c r="C167" s="225"/>
      <c r="D167" s="225"/>
      <c r="E167" s="252"/>
      <c r="F167" s="225"/>
      <c r="G167" s="225"/>
      <c r="H167" s="225"/>
      <c r="I167" s="252"/>
      <c r="J167" s="240"/>
      <c r="K167" s="240"/>
      <c r="L167" s="240"/>
    </row>
    <row r="168" spans="3:12" ht="12.75">
      <c r="C168" s="225"/>
      <c r="D168" s="225"/>
      <c r="E168" s="252"/>
      <c r="F168" s="225"/>
      <c r="G168" s="225"/>
      <c r="H168" s="225"/>
      <c r="I168" s="252"/>
      <c r="J168" s="240"/>
      <c r="K168" s="240"/>
      <c r="L168" s="240"/>
    </row>
    <row r="169" spans="3:12" ht="12.75">
      <c r="C169" s="225"/>
      <c r="D169" s="225"/>
      <c r="E169" s="252"/>
      <c r="F169" s="225"/>
      <c r="G169" s="225"/>
      <c r="H169" s="225"/>
      <c r="I169" s="252"/>
      <c r="J169" s="240"/>
      <c r="K169" s="240"/>
      <c r="L169" s="240"/>
    </row>
    <row r="170" spans="3:12" ht="12.75">
      <c r="C170" s="225"/>
      <c r="D170" s="225"/>
      <c r="E170" s="252"/>
      <c r="F170" s="225"/>
      <c r="G170" s="225"/>
      <c r="H170" s="225"/>
      <c r="I170" s="252"/>
      <c r="J170" s="240"/>
      <c r="K170" s="240"/>
      <c r="L170" s="240"/>
    </row>
    <row r="171" spans="3:12" ht="12.75">
      <c r="C171" s="225"/>
      <c r="D171" s="225"/>
      <c r="E171" s="252"/>
      <c r="F171" s="225"/>
      <c r="G171" s="225"/>
      <c r="H171" s="225"/>
      <c r="I171" s="252"/>
      <c r="J171" s="240"/>
      <c r="K171" s="240"/>
      <c r="L171" s="240"/>
    </row>
    <row r="172" spans="3:12" ht="12.75">
      <c r="C172" s="225"/>
      <c r="D172" s="225"/>
      <c r="E172" s="252"/>
      <c r="F172" s="225"/>
      <c r="G172" s="225"/>
      <c r="H172" s="225"/>
      <c r="I172" s="252"/>
      <c r="J172" s="240"/>
      <c r="K172" s="240"/>
      <c r="L172" s="240"/>
    </row>
  </sheetData>
  <sheetProtection/>
  <mergeCells count="15">
    <mergeCell ref="C4:C5"/>
    <mergeCell ref="D4:D5"/>
    <mergeCell ref="C43:C44"/>
    <mergeCell ref="A2:C2"/>
    <mergeCell ref="D43:D44"/>
    <mergeCell ref="G4:G5"/>
    <mergeCell ref="G43:G44"/>
    <mergeCell ref="F43:F44"/>
    <mergeCell ref="J43:J44"/>
    <mergeCell ref="F4:F5"/>
    <mergeCell ref="J4:J5"/>
    <mergeCell ref="H4:H5"/>
    <mergeCell ref="H43:H44"/>
    <mergeCell ref="K4:K5"/>
    <mergeCell ref="K43:K44"/>
  </mergeCells>
  <hyperlinks>
    <hyperlink ref="A2" location="Index!A1" display="Back to Index"/>
  </hyperlinks>
  <printOptions/>
  <pageMargins left="0.75" right="0.75" top="0.76" bottom="1" header="0.5" footer="0.5"/>
  <pageSetup fitToHeight="1" fitToWidth="1" horizontalDpi="600" verticalDpi="600" orientation="portrait" scale="62" r:id="rId1"/>
  <ignoredErrors>
    <ignoredError sqref="E59:E70 F38:F42 F67:F70 F45 I45:I46 E54 I59:I70 E45:E52 I38:I42 E38:E42 I47:I52 I53:I54" formula="1"/>
  </ignoredErrors>
</worksheet>
</file>

<file path=xl/worksheets/sheet26.xml><?xml version="1.0" encoding="utf-8"?>
<worksheet xmlns="http://schemas.openxmlformats.org/spreadsheetml/2006/main" xmlns:r="http://schemas.openxmlformats.org/officeDocument/2006/relationships">
  <sheetPr>
    <pageSetUpPr fitToPage="1"/>
  </sheetPr>
  <dimension ref="A1:AE184"/>
  <sheetViews>
    <sheetView zoomScale="80" zoomScaleNormal="80" zoomScalePageLayoutView="0" workbookViewId="0" topLeftCell="A1">
      <pane xSplit="1" ySplit="6" topLeftCell="B61" activePane="bottomRight" state="frozen"/>
      <selection pane="topLeft" activeCell="AC12" sqref="AC12"/>
      <selection pane="topRight" activeCell="AC12" sqref="AC12"/>
      <selection pane="bottomLeft" activeCell="AC12" sqref="AC12"/>
      <selection pane="bottomRight" activeCell="O20" sqref="O20"/>
    </sheetView>
  </sheetViews>
  <sheetFormatPr defaultColWidth="9.140625" defaultRowHeight="12.75"/>
  <cols>
    <col min="1" max="1" width="2.421875" style="0" customWidth="1"/>
    <col min="2" max="2" width="38.7109375" style="0" customWidth="1"/>
    <col min="3" max="3" width="1.28515625" style="0" customWidth="1"/>
    <col min="4" max="4" width="13.00390625" style="0" bestFit="1" customWidth="1"/>
    <col min="5" max="6" width="11.7109375" style="0" customWidth="1"/>
    <col min="7" max="7" width="4.7109375" style="0" customWidth="1"/>
    <col min="8" max="8" width="10.8515625" style="0" customWidth="1"/>
    <col min="9" max="10" width="11.8515625" style="0" customWidth="1"/>
  </cols>
  <sheetData>
    <row r="1" spans="1:12" s="42" customFormat="1" ht="20.25">
      <c r="A1" s="41" t="s">
        <v>329</v>
      </c>
      <c r="F1" s="41"/>
      <c r="G1" s="43"/>
      <c r="H1" s="43"/>
      <c r="I1" s="43"/>
      <c r="J1" s="256"/>
      <c r="K1" s="43"/>
      <c r="L1" s="43"/>
    </row>
    <row r="2" spans="1:12" s="44" customFormat="1" ht="15">
      <c r="A2" s="515" t="s">
        <v>80</v>
      </c>
      <c r="B2" s="515"/>
      <c r="C2" s="515"/>
      <c r="D2" s="294"/>
      <c r="E2" s="294"/>
      <c r="J2" s="257"/>
      <c r="L2" s="45"/>
    </row>
    <row r="3" spans="1:10" ht="15" thickBot="1">
      <c r="A3" s="108"/>
      <c r="B3" s="108"/>
      <c r="C3" s="108"/>
      <c r="D3" s="108"/>
      <c r="E3" s="108"/>
      <c r="F3" s="108"/>
      <c r="G3" s="108"/>
      <c r="H3" s="108"/>
      <c r="I3" s="108"/>
      <c r="J3" s="241"/>
    </row>
    <row r="4" spans="1:20" ht="15.75" customHeight="1" thickTop="1">
      <c r="A4" s="108"/>
      <c r="B4" s="185"/>
      <c r="C4" s="186"/>
      <c r="D4" s="524" t="s">
        <v>257</v>
      </c>
      <c r="E4" s="524"/>
      <c r="F4" s="524"/>
      <c r="G4" s="187"/>
      <c r="H4" s="523" t="s">
        <v>258</v>
      </c>
      <c r="I4" s="523"/>
      <c r="J4" s="523"/>
      <c r="K4" s="67"/>
      <c r="L4" s="67"/>
      <c r="M4" s="67"/>
      <c r="N4" s="67"/>
      <c r="O4" s="67"/>
      <c r="P4" s="67"/>
      <c r="Q4" s="67"/>
      <c r="R4" s="67"/>
      <c r="S4" s="67"/>
      <c r="T4" s="67"/>
    </row>
    <row r="5" spans="1:20" s="111" customFormat="1" ht="15">
      <c r="A5" s="110"/>
      <c r="B5" s="188"/>
      <c r="C5" s="189"/>
      <c r="D5" s="148">
        <v>40999</v>
      </c>
      <c r="E5" s="148">
        <v>41274</v>
      </c>
      <c r="F5" s="148">
        <v>40268</v>
      </c>
      <c r="G5" s="148"/>
      <c r="H5" s="148">
        <v>40999</v>
      </c>
      <c r="I5" s="148">
        <v>41274</v>
      </c>
      <c r="J5" s="148">
        <v>40268</v>
      </c>
      <c r="K5" s="190"/>
      <c r="L5" s="190"/>
      <c r="M5" s="190"/>
      <c r="N5" s="190"/>
      <c r="O5" s="190"/>
      <c r="P5" s="190"/>
      <c r="Q5" s="190"/>
      <c r="R5" s="190"/>
      <c r="S5" s="190"/>
      <c r="T5" s="190"/>
    </row>
    <row r="6" spans="1:20" s="113" customFormat="1" ht="21.75" customHeight="1" thickBot="1">
      <c r="A6" s="112"/>
      <c r="B6" s="191" t="s">
        <v>238</v>
      </c>
      <c r="C6" s="192"/>
      <c r="D6" s="149">
        <v>2013</v>
      </c>
      <c r="E6" s="149">
        <v>2012</v>
      </c>
      <c r="F6" s="149">
        <v>2012</v>
      </c>
      <c r="G6" s="149"/>
      <c r="H6" s="149">
        <v>2013</v>
      </c>
      <c r="I6" s="149">
        <v>2012</v>
      </c>
      <c r="J6" s="149">
        <v>2012</v>
      </c>
      <c r="K6" s="193"/>
      <c r="L6" s="193"/>
      <c r="M6" s="193"/>
      <c r="N6" s="193"/>
      <c r="O6" s="193"/>
      <c r="P6" s="193"/>
      <c r="Q6" s="193"/>
      <c r="R6" s="193"/>
      <c r="S6" s="193"/>
      <c r="T6" s="193"/>
    </row>
    <row r="7" spans="1:20" ht="15.75" thickTop="1">
      <c r="A7" s="108"/>
      <c r="B7" s="176"/>
      <c r="C7" s="194"/>
      <c r="D7" s="323"/>
      <c r="E7" s="194"/>
      <c r="F7" s="103"/>
      <c r="G7" s="146"/>
      <c r="H7" s="146"/>
      <c r="I7" s="146"/>
      <c r="J7" s="103"/>
      <c r="K7" s="67"/>
      <c r="L7" s="67"/>
      <c r="M7" s="67"/>
      <c r="N7" s="67"/>
      <c r="O7" s="67"/>
      <c r="P7" s="67"/>
      <c r="Q7" s="67"/>
      <c r="R7" s="67"/>
      <c r="S7" s="67"/>
      <c r="T7" s="67"/>
    </row>
    <row r="8" spans="1:20" ht="15">
      <c r="A8" s="108"/>
      <c r="B8" s="176" t="s">
        <v>259</v>
      </c>
      <c r="C8" s="194"/>
      <c r="D8" s="323"/>
      <c r="E8" s="323"/>
      <c r="F8" s="103"/>
      <c r="G8" s="146"/>
      <c r="H8" s="146"/>
      <c r="I8" s="146"/>
      <c r="J8" s="146"/>
      <c r="K8" s="67"/>
      <c r="L8" s="67"/>
      <c r="M8" s="67"/>
      <c r="N8" s="67"/>
      <c r="O8" s="67"/>
      <c r="P8" s="67"/>
      <c r="Q8" s="67"/>
      <c r="R8" s="67"/>
      <c r="S8" s="67"/>
      <c r="T8" s="67"/>
    </row>
    <row r="9" spans="1:20" ht="15">
      <c r="A9" s="108"/>
      <c r="B9" s="195"/>
      <c r="C9" s="194"/>
      <c r="D9" s="323"/>
      <c r="E9" s="323"/>
      <c r="F9" s="147"/>
      <c r="G9" s="152"/>
      <c r="H9" s="146"/>
      <c r="I9" s="146"/>
      <c r="J9" s="146"/>
      <c r="K9" s="67"/>
      <c r="L9" s="67"/>
      <c r="M9" s="67"/>
      <c r="N9" s="67"/>
      <c r="O9" s="67"/>
      <c r="P9" s="67"/>
      <c r="Q9" s="67"/>
      <c r="R9" s="67"/>
      <c r="S9" s="67"/>
      <c r="T9" s="67"/>
    </row>
    <row r="10" spans="1:20" ht="15">
      <c r="A10" s="108"/>
      <c r="B10" s="196" t="s">
        <v>260</v>
      </c>
      <c r="C10" s="194"/>
      <c r="D10" s="426">
        <v>17422</v>
      </c>
      <c r="E10" s="317">
        <v>17772</v>
      </c>
      <c r="F10" s="136">
        <v>22916</v>
      </c>
      <c r="G10" s="136"/>
      <c r="H10" s="136"/>
      <c r="I10" s="136"/>
      <c r="J10" s="146"/>
      <c r="K10" s="67"/>
      <c r="L10" s="67"/>
      <c r="M10" s="67"/>
      <c r="N10" s="67"/>
      <c r="O10" s="67"/>
      <c r="P10" s="67"/>
      <c r="Q10" s="67"/>
      <c r="R10" s="67"/>
      <c r="S10" s="67"/>
      <c r="T10" s="67"/>
    </row>
    <row r="11" spans="1:20" ht="29.25">
      <c r="A11" s="108"/>
      <c r="B11" s="188" t="s">
        <v>261</v>
      </c>
      <c r="C11" s="188"/>
      <c r="D11" s="426">
        <v>12050</v>
      </c>
      <c r="E11" s="317">
        <v>12092</v>
      </c>
      <c r="F11" s="136">
        <v>12376</v>
      </c>
      <c r="G11" s="136"/>
      <c r="H11" s="136"/>
      <c r="I11" s="136"/>
      <c r="J11" s="146"/>
      <c r="K11" s="67"/>
      <c r="L11" s="67"/>
      <c r="M11" s="67"/>
      <c r="N11" s="67"/>
      <c r="O11" s="67"/>
      <c r="P11" s="67"/>
      <c r="Q11" s="67"/>
      <c r="R11" s="67"/>
      <c r="S11" s="67"/>
      <c r="T11" s="67"/>
    </row>
    <row r="12" spans="1:20" ht="15">
      <c r="A12" s="108"/>
      <c r="B12" s="188" t="s">
        <v>262</v>
      </c>
      <c r="C12" s="197"/>
      <c r="D12" s="426">
        <v>31732</v>
      </c>
      <c r="E12" s="317">
        <v>28808</v>
      </c>
      <c r="F12" s="136">
        <v>32547</v>
      </c>
      <c r="G12" s="136"/>
      <c r="H12" s="492"/>
      <c r="I12" s="136"/>
      <c r="J12" s="103"/>
      <c r="K12" s="67"/>
      <c r="L12" s="67"/>
      <c r="M12" s="67"/>
      <c r="N12" s="67"/>
      <c r="O12" s="67"/>
      <c r="P12" s="67"/>
      <c r="Q12" s="67"/>
      <c r="R12" s="67"/>
      <c r="S12" s="67"/>
      <c r="T12" s="67"/>
    </row>
    <row r="13" spans="1:20" ht="29.25">
      <c r="A13" s="108"/>
      <c r="B13" s="188" t="s">
        <v>304</v>
      </c>
      <c r="C13" s="194"/>
      <c r="D13" s="426">
        <v>12824</v>
      </c>
      <c r="E13" s="317">
        <v>11540</v>
      </c>
      <c r="F13" s="136">
        <v>13082</v>
      </c>
      <c r="G13" s="136"/>
      <c r="H13" s="317"/>
      <c r="I13" s="136"/>
      <c r="J13" s="103"/>
      <c r="K13" s="67"/>
      <c r="L13" s="67"/>
      <c r="M13" s="67"/>
      <c r="N13" s="67"/>
      <c r="O13" s="67"/>
      <c r="P13" s="67"/>
      <c r="Q13" s="67"/>
      <c r="R13" s="67"/>
      <c r="S13" s="67"/>
      <c r="T13" s="67"/>
    </row>
    <row r="14" spans="1:20" ht="29.25">
      <c r="A14" s="108"/>
      <c r="B14" s="188" t="s">
        <v>263</v>
      </c>
      <c r="C14" s="194"/>
      <c r="D14" s="426">
        <v>14943</v>
      </c>
      <c r="E14" s="317">
        <v>17280</v>
      </c>
      <c r="F14" s="136">
        <v>17990</v>
      </c>
      <c r="G14" s="136"/>
      <c r="H14" s="317"/>
      <c r="I14" s="136"/>
      <c r="J14" s="103"/>
      <c r="K14" s="67"/>
      <c r="L14" s="67"/>
      <c r="M14" s="67"/>
      <c r="N14" s="67"/>
      <c r="O14" s="67"/>
      <c r="P14" s="67"/>
      <c r="Q14" s="67"/>
      <c r="R14" s="67"/>
      <c r="S14" s="67"/>
      <c r="T14" s="67"/>
    </row>
    <row r="15" spans="1:20" ht="15">
      <c r="A15" s="108"/>
      <c r="B15" s="188" t="s">
        <v>264</v>
      </c>
      <c r="C15" s="194"/>
      <c r="D15" s="426">
        <v>222347</v>
      </c>
      <c r="E15" s="317">
        <v>209395</v>
      </c>
      <c r="F15" s="136">
        <v>196494</v>
      </c>
      <c r="G15" s="136"/>
      <c r="H15" s="317"/>
      <c r="I15" s="136"/>
      <c r="J15" s="103"/>
      <c r="K15" s="67"/>
      <c r="L15" s="67"/>
      <c r="M15" s="67"/>
      <c r="N15" s="67"/>
      <c r="O15" s="67"/>
      <c r="P15" s="67"/>
      <c r="Q15" s="67"/>
      <c r="R15" s="67"/>
      <c r="S15" s="67"/>
      <c r="T15" s="67"/>
    </row>
    <row r="16" spans="1:20" ht="15">
      <c r="A16" s="108"/>
      <c r="B16" s="188" t="s">
        <v>265</v>
      </c>
      <c r="C16" s="197"/>
      <c r="D16" s="426">
        <v>36159</v>
      </c>
      <c r="E16" s="317">
        <v>35567</v>
      </c>
      <c r="F16" s="136">
        <v>32828</v>
      </c>
      <c r="G16" s="136"/>
      <c r="H16" s="317"/>
      <c r="I16" s="136"/>
      <c r="J16" s="103"/>
      <c r="K16" s="67"/>
      <c r="L16" s="67"/>
      <c r="M16" s="67"/>
      <c r="N16" s="67"/>
      <c r="O16" s="67"/>
      <c r="P16" s="67"/>
      <c r="Q16" s="67"/>
      <c r="R16" s="67"/>
      <c r="S16" s="67"/>
      <c r="T16" s="67"/>
    </row>
    <row r="17" spans="1:20" ht="15">
      <c r="A17" s="108"/>
      <c r="B17" s="188" t="s">
        <v>403</v>
      </c>
      <c r="C17" s="197"/>
      <c r="D17" s="426">
        <v>7408</v>
      </c>
      <c r="E17" s="317">
        <v>4397</v>
      </c>
      <c r="F17" s="136">
        <v>2556</v>
      </c>
      <c r="G17" s="136"/>
      <c r="H17" s="317"/>
      <c r="I17" s="136"/>
      <c r="J17" s="103"/>
      <c r="K17" s="67"/>
      <c r="L17" s="67"/>
      <c r="M17" s="67"/>
      <c r="N17" s="67"/>
      <c r="O17" s="67"/>
      <c r="P17" s="67"/>
      <c r="Q17" s="67"/>
      <c r="R17" s="67"/>
      <c r="S17" s="67"/>
      <c r="T17" s="67"/>
    </row>
    <row r="18" spans="1:20" ht="15">
      <c r="A18" s="108"/>
      <c r="B18" s="188" t="s">
        <v>266</v>
      </c>
      <c r="C18" s="194"/>
      <c r="D18" s="146"/>
      <c r="E18" s="315"/>
      <c r="F18" s="103"/>
      <c r="G18" s="103"/>
      <c r="H18" s="426">
        <v>11188</v>
      </c>
      <c r="I18" s="317">
        <v>11159</v>
      </c>
      <c r="J18" s="136">
        <v>10990</v>
      </c>
      <c r="K18" s="67"/>
      <c r="L18" s="67"/>
      <c r="M18" s="67"/>
      <c r="N18" s="67"/>
      <c r="O18" s="67"/>
      <c r="P18" s="67"/>
      <c r="Q18" s="67"/>
      <c r="R18" s="67"/>
      <c r="S18" s="67"/>
      <c r="T18" s="67"/>
    </row>
    <row r="19" spans="1:20" ht="15">
      <c r="A19" s="108"/>
      <c r="B19" s="188" t="s">
        <v>267</v>
      </c>
      <c r="C19" s="194"/>
      <c r="D19" s="423">
        <v>1271</v>
      </c>
      <c r="E19" s="315">
        <v>1236</v>
      </c>
      <c r="F19" s="103">
        <v>948</v>
      </c>
      <c r="G19" s="103"/>
      <c r="H19" s="146"/>
      <c r="I19" s="103"/>
      <c r="J19" s="103"/>
      <c r="K19" s="67"/>
      <c r="L19" s="67"/>
      <c r="M19" s="67"/>
      <c r="N19" s="67"/>
      <c r="O19" s="67"/>
      <c r="P19" s="67"/>
      <c r="Q19" s="67"/>
      <c r="R19" s="67"/>
      <c r="S19" s="67"/>
      <c r="T19" s="67"/>
    </row>
    <row r="20" spans="1:20" ht="15">
      <c r="A20" s="108"/>
      <c r="B20" s="188" t="s">
        <v>268</v>
      </c>
      <c r="C20" s="194"/>
      <c r="D20" s="426">
        <v>4802</v>
      </c>
      <c r="E20" s="317">
        <v>4802</v>
      </c>
      <c r="F20" s="136">
        <v>4802</v>
      </c>
      <c r="G20" s="136"/>
      <c r="H20" s="146"/>
      <c r="I20" s="315"/>
      <c r="J20" s="103"/>
      <c r="K20" s="67"/>
      <c r="L20" s="67"/>
      <c r="M20" s="67"/>
      <c r="N20" s="67"/>
      <c r="O20" s="67"/>
      <c r="P20" s="67"/>
      <c r="Q20" s="67"/>
      <c r="R20" s="67"/>
      <c r="S20" s="67"/>
      <c r="T20" s="67"/>
    </row>
    <row r="21" spans="1:20" ht="15">
      <c r="A21" s="108"/>
      <c r="B21" s="166" t="s">
        <v>269</v>
      </c>
      <c r="C21" s="194"/>
      <c r="D21" s="426">
        <v>917</v>
      </c>
      <c r="E21" s="317">
        <v>945</v>
      </c>
      <c r="F21" s="136">
        <v>1022</v>
      </c>
      <c r="G21" s="136"/>
      <c r="H21" s="146"/>
      <c r="I21" s="103"/>
      <c r="J21" s="103"/>
      <c r="K21" s="67"/>
      <c r="L21" s="67"/>
      <c r="M21" s="67"/>
      <c r="N21" s="67"/>
      <c r="O21" s="67"/>
      <c r="P21" s="67"/>
      <c r="Q21" s="67"/>
      <c r="R21" s="67"/>
      <c r="S21" s="67"/>
      <c r="T21" s="67"/>
    </row>
    <row r="22" spans="1:20" ht="15">
      <c r="A22" s="108"/>
      <c r="B22" s="166" t="s">
        <v>270</v>
      </c>
      <c r="C22" s="194"/>
      <c r="D22" s="146">
        <v>504</v>
      </c>
      <c r="E22" s="315">
        <v>497</v>
      </c>
      <c r="F22" s="103">
        <v>301</v>
      </c>
      <c r="G22" s="103"/>
      <c r="H22" s="146"/>
      <c r="I22" s="315"/>
      <c r="J22" s="103"/>
      <c r="K22" s="67"/>
      <c r="L22" s="67"/>
      <c r="M22" s="67"/>
      <c r="N22" s="67"/>
      <c r="O22" s="67"/>
      <c r="P22" s="67"/>
      <c r="Q22" s="67"/>
      <c r="R22" s="67"/>
      <c r="S22" s="67"/>
      <c r="T22" s="67"/>
    </row>
    <row r="23" spans="1:20" ht="15">
      <c r="A23" s="108"/>
      <c r="B23" s="188" t="s">
        <v>271</v>
      </c>
      <c r="C23" s="194"/>
      <c r="D23" s="146">
        <v>148</v>
      </c>
      <c r="E23" s="315">
        <v>91</v>
      </c>
      <c r="F23" s="103">
        <v>141</v>
      </c>
      <c r="G23" s="103"/>
      <c r="H23" s="146"/>
      <c r="I23" s="103"/>
      <c r="J23" s="103"/>
      <c r="K23" s="67"/>
      <c r="L23" s="67"/>
      <c r="M23" s="67"/>
      <c r="N23" s="67"/>
      <c r="O23" s="67"/>
      <c r="P23" s="67"/>
      <c r="Q23" s="67"/>
      <c r="R23" s="67"/>
      <c r="S23" s="67"/>
      <c r="T23" s="67"/>
    </row>
    <row r="24" spans="1:20" ht="15">
      <c r="A24" s="108"/>
      <c r="B24" s="188" t="s">
        <v>272</v>
      </c>
      <c r="C24" s="194"/>
      <c r="D24" s="426">
        <v>10732</v>
      </c>
      <c r="E24" s="317">
        <v>8611</v>
      </c>
      <c r="F24" s="136">
        <v>10277</v>
      </c>
      <c r="G24" s="136"/>
      <c r="H24" s="469">
        <v>0</v>
      </c>
      <c r="I24" s="469">
        <v>0</v>
      </c>
      <c r="J24" s="103">
        <v>16</v>
      </c>
      <c r="K24" s="67"/>
      <c r="L24" s="67"/>
      <c r="M24" s="67"/>
      <c r="N24" s="67"/>
      <c r="O24" s="67"/>
      <c r="P24" s="67"/>
      <c r="Q24" s="67"/>
      <c r="R24" s="67"/>
      <c r="S24" s="67"/>
      <c r="T24" s="67"/>
    </row>
    <row r="25" spans="1:20" ht="15">
      <c r="A25" s="108"/>
      <c r="B25" s="195"/>
      <c r="C25" s="194"/>
      <c r="D25" s="146"/>
      <c r="E25" s="315"/>
      <c r="F25" s="103"/>
      <c r="G25" s="147"/>
      <c r="H25" s="146"/>
      <c r="I25" s="103"/>
      <c r="J25" s="103"/>
      <c r="K25" s="67"/>
      <c r="L25" s="67"/>
      <c r="M25" s="67"/>
      <c r="N25" s="67"/>
      <c r="O25" s="67"/>
      <c r="P25" s="67"/>
      <c r="Q25" s="67"/>
      <c r="R25" s="67"/>
      <c r="S25" s="67"/>
      <c r="T25" s="67"/>
    </row>
    <row r="26" spans="1:20" ht="15.75" thickBot="1">
      <c r="A26" s="108"/>
      <c r="B26" s="195"/>
      <c r="C26" s="194"/>
      <c r="D26" s="429"/>
      <c r="E26" s="316"/>
      <c r="F26" s="145"/>
      <c r="G26" s="151"/>
      <c r="H26" s="429"/>
      <c r="I26" s="316"/>
      <c r="J26" s="145"/>
      <c r="K26" s="67"/>
      <c r="L26" s="67"/>
      <c r="M26" s="67"/>
      <c r="N26" s="67"/>
      <c r="O26" s="67"/>
      <c r="P26" s="67"/>
      <c r="Q26" s="67"/>
      <c r="R26" s="67"/>
      <c r="S26" s="67"/>
      <c r="T26" s="67"/>
    </row>
    <row r="27" spans="1:20" ht="15.75" thickBot="1">
      <c r="A27" s="108"/>
      <c r="B27" s="176" t="s">
        <v>273</v>
      </c>
      <c r="C27" s="152"/>
      <c r="D27" s="495">
        <f>SUM(D10:D26)</f>
        <v>373259</v>
      </c>
      <c r="E27" s="350">
        <v>353033</v>
      </c>
      <c r="F27" s="350">
        <v>348280</v>
      </c>
      <c r="G27" s="150"/>
      <c r="H27" s="495">
        <f>SUM(H10:H26)</f>
        <v>11188</v>
      </c>
      <c r="I27" s="358">
        <v>11159</v>
      </c>
      <c r="J27" s="350">
        <v>11006</v>
      </c>
      <c r="K27" s="67"/>
      <c r="L27" s="67"/>
      <c r="M27" s="67"/>
      <c r="N27" s="67"/>
      <c r="O27" s="67"/>
      <c r="P27" s="67"/>
      <c r="Q27" s="67"/>
      <c r="R27" s="67"/>
      <c r="S27" s="67"/>
      <c r="T27" s="67"/>
    </row>
    <row r="28" spans="1:20" ht="15">
      <c r="A28" s="108"/>
      <c r="B28" s="198"/>
      <c r="C28" s="175"/>
      <c r="D28" s="175"/>
      <c r="E28" s="351"/>
      <c r="F28" s="147"/>
      <c r="G28" s="147"/>
      <c r="H28" s="103"/>
      <c r="I28" s="103"/>
      <c r="J28" s="103"/>
      <c r="K28" s="67"/>
      <c r="L28" s="67"/>
      <c r="M28" s="67"/>
      <c r="N28" s="67"/>
      <c r="O28" s="67"/>
      <c r="P28" s="67"/>
      <c r="Q28" s="67"/>
      <c r="R28" s="67"/>
      <c r="S28" s="67"/>
      <c r="T28" s="67"/>
    </row>
    <row r="29" spans="1:20" ht="15">
      <c r="A29" s="108"/>
      <c r="B29" s="199" t="s">
        <v>274</v>
      </c>
      <c r="C29" s="194"/>
      <c r="D29" s="323"/>
      <c r="E29" s="352"/>
      <c r="F29" s="147"/>
      <c r="G29" s="147"/>
      <c r="H29" s="103"/>
      <c r="I29" s="103"/>
      <c r="J29" s="103"/>
      <c r="K29" s="67"/>
      <c r="L29" s="67"/>
      <c r="M29" s="67"/>
      <c r="N29" s="67"/>
      <c r="O29" s="67"/>
      <c r="P29" s="67"/>
      <c r="Q29" s="67"/>
      <c r="R29" s="67"/>
      <c r="S29" s="67"/>
      <c r="T29" s="67"/>
    </row>
    <row r="30" spans="1:20" ht="14.25">
      <c r="A30" s="108"/>
      <c r="B30" s="188"/>
      <c r="C30" s="194"/>
      <c r="D30" s="323"/>
      <c r="E30" s="352"/>
      <c r="F30" s="147"/>
      <c r="G30" s="147"/>
      <c r="H30" s="103"/>
      <c r="I30" s="103"/>
      <c r="J30" s="103"/>
      <c r="K30" s="67"/>
      <c r="L30" s="67"/>
      <c r="M30" s="67"/>
      <c r="N30" s="67"/>
      <c r="O30" s="67"/>
      <c r="P30" s="67"/>
      <c r="Q30" s="67"/>
      <c r="R30" s="67"/>
      <c r="S30" s="67"/>
      <c r="T30" s="67"/>
    </row>
    <row r="31" spans="1:20" ht="15">
      <c r="A31" s="108"/>
      <c r="B31" s="188" t="s">
        <v>275</v>
      </c>
      <c r="C31" s="194"/>
      <c r="D31" s="426">
        <v>29198</v>
      </c>
      <c r="E31" s="317">
        <v>25162</v>
      </c>
      <c r="F31" s="136">
        <v>25483</v>
      </c>
      <c r="G31" s="136"/>
      <c r="H31" s="136"/>
      <c r="I31" s="136"/>
      <c r="J31" s="103"/>
      <c r="K31" s="67"/>
      <c r="L31" s="67"/>
      <c r="M31" s="67"/>
      <c r="N31" s="67"/>
      <c r="O31" s="67"/>
      <c r="P31" s="67"/>
      <c r="Q31" s="67"/>
      <c r="R31" s="67"/>
      <c r="S31" s="67"/>
      <c r="T31" s="67"/>
    </row>
    <row r="32" spans="1:20" ht="15">
      <c r="A32" s="108"/>
      <c r="B32" s="188" t="s">
        <v>276</v>
      </c>
      <c r="C32" s="194"/>
      <c r="D32" s="426">
        <v>249104</v>
      </c>
      <c r="E32" s="317">
        <v>241165</v>
      </c>
      <c r="F32" s="136">
        <v>227703</v>
      </c>
      <c r="G32" s="136"/>
      <c r="H32" s="136"/>
      <c r="I32" s="136"/>
      <c r="J32" s="103"/>
      <c r="K32" s="67"/>
      <c r="L32" s="67"/>
      <c r="M32" s="67"/>
      <c r="N32" s="67"/>
      <c r="O32" s="67"/>
      <c r="P32" s="67"/>
      <c r="Q32" s="67"/>
      <c r="R32" s="67"/>
      <c r="S32" s="67"/>
      <c r="T32" s="67"/>
    </row>
    <row r="33" spans="1:20" ht="29.25">
      <c r="A33" s="108"/>
      <c r="B33" s="188" t="s">
        <v>300</v>
      </c>
      <c r="C33" s="194"/>
      <c r="D33" s="426">
        <v>10601</v>
      </c>
      <c r="E33" s="317">
        <v>7849</v>
      </c>
      <c r="F33" s="136">
        <v>10964</v>
      </c>
      <c r="G33" s="136"/>
      <c r="H33" s="136"/>
      <c r="I33" s="136"/>
      <c r="J33" s="103"/>
      <c r="K33" s="67"/>
      <c r="L33" s="67"/>
      <c r="M33" s="67"/>
      <c r="N33" s="67"/>
      <c r="O33" s="67"/>
      <c r="P33" s="67"/>
      <c r="Q33" s="67"/>
      <c r="R33" s="67"/>
      <c r="S33" s="67"/>
      <c r="T33" s="67"/>
    </row>
    <row r="34" spans="1:20" ht="29.25">
      <c r="A34" s="108"/>
      <c r="B34" s="188" t="s">
        <v>277</v>
      </c>
      <c r="C34" s="194"/>
      <c r="D34" s="426">
        <v>15277</v>
      </c>
      <c r="E34" s="317">
        <v>17532</v>
      </c>
      <c r="F34" s="136">
        <v>18570</v>
      </c>
      <c r="G34" s="136"/>
      <c r="H34" s="136"/>
      <c r="I34" s="136"/>
      <c r="J34" s="103"/>
      <c r="K34" s="67"/>
      <c r="L34" s="67"/>
      <c r="M34" s="67"/>
      <c r="N34" s="67"/>
      <c r="O34" s="67"/>
      <c r="P34" s="67"/>
      <c r="Q34" s="67"/>
      <c r="R34" s="67"/>
      <c r="S34" s="67"/>
      <c r="T34" s="67"/>
    </row>
    <row r="35" spans="1:20" ht="15">
      <c r="A35" s="108"/>
      <c r="B35" s="188" t="s">
        <v>278</v>
      </c>
      <c r="C35" s="194"/>
      <c r="D35" s="146">
        <v>301</v>
      </c>
      <c r="E35" s="315">
        <v>316</v>
      </c>
      <c r="F35" s="135">
        <v>228</v>
      </c>
      <c r="G35" s="103"/>
      <c r="H35" s="103"/>
      <c r="I35" s="103"/>
      <c r="J35" s="103"/>
      <c r="K35" s="67"/>
      <c r="L35" s="67"/>
      <c r="M35" s="67"/>
      <c r="N35" s="67"/>
      <c r="O35" s="67"/>
      <c r="P35" s="67"/>
      <c r="Q35" s="67"/>
      <c r="R35" s="67"/>
      <c r="S35" s="67"/>
      <c r="T35" s="67"/>
    </row>
    <row r="36" spans="1:20" ht="15">
      <c r="A36" s="108"/>
      <c r="B36" s="188" t="s">
        <v>279</v>
      </c>
      <c r="C36" s="200"/>
      <c r="D36" s="146">
        <v>924</v>
      </c>
      <c r="E36" s="315">
        <v>824</v>
      </c>
      <c r="F36" s="135">
        <v>935</v>
      </c>
      <c r="G36" s="103"/>
      <c r="H36" s="103"/>
      <c r="I36" s="103"/>
      <c r="J36" s="103"/>
      <c r="K36" s="67"/>
      <c r="L36" s="67"/>
      <c r="M36" s="67"/>
      <c r="N36" s="67"/>
      <c r="O36" s="67"/>
      <c r="P36" s="67"/>
      <c r="Q36" s="67"/>
      <c r="R36" s="67"/>
      <c r="S36" s="67"/>
      <c r="T36" s="67"/>
    </row>
    <row r="37" spans="1:20" ht="15">
      <c r="A37" s="108"/>
      <c r="B37" s="188" t="s">
        <v>280</v>
      </c>
      <c r="C37" s="194"/>
      <c r="D37" s="146">
        <v>86</v>
      </c>
      <c r="E37" s="315">
        <v>30</v>
      </c>
      <c r="F37" s="135">
        <v>29</v>
      </c>
      <c r="G37" s="103"/>
      <c r="H37" s="103"/>
      <c r="I37" s="103"/>
      <c r="J37" s="103"/>
      <c r="K37" s="67"/>
      <c r="L37" s="67"/>
      <c r="M37" s="67"/>
      <c r="N37" s="67"/>
      <c r="O37" s="67"/>
      <c r="P37" s="67"/>
      <c r="Q37" s="67"/>
      <c r="R37" s="67"/>
      <c r="S37" s="67"/>
      <c r="T37" s="67"/>
    </row>
    <row r="38" spans="1:20" ht="15">
      <c r="A38" s="108"/>
      <c r="B38" s="188" t="s">
        <v>281</v>
      </c>
      <c r="C38" s="195"/>
      <c r="D38" s="426">
        <v>10646</v>
      </c>
      <c r="E38" s="317">
        <v>8416</v>
      </c>
      <c r="F38" s="135">
        <v>9591</v>
      </c>
      <c r="G38" s="136"/>
      <c r="H38" s="496">
        <v>8</v>
      </c>
      <c r="I38" s="315">
        <v>8</v>
      </c>
      <c r="J38" s="103">
        <v>6</v>
      </c>
      <c r="K38" s="67"/>
      <c r="L38" s="67"/>
      <c r="M38" s="67"/>
      <c r="N38" s="67"/>
      <c r="O38" s="67"/>
      <c r="P38" s="67"/>
      <c r="Q38" s="67"/>
      <c r="R38" s="67"/>
      <c r="S38" s="67"/>
      <c r="T38" s="67"/>
    </row>
    <row r="39" spans="1:20" ht="15">
      <c r="A39" s="108"/>
      <c r="B39" s="188" t="s">
        <v>282</v>
      </c>
      <c r="C39" s="194"/>
      <c r="D39" s="426">
        <v>14531</v>
      </c>
      <c r="E39" s="317">
        <v>10236</v>
      </c>
      <c r="F39" s="135">
        <v>13591</v>
      </c>
      <c r="G39" s="103"/>
      <c r="H39" s="496"/>
      <c r="I39" s="103"/>
      <c r="J39" s="103"/>
      <c r="K39" s="67"/>
      <c r="L39" s="67"/>
      <c r="M39" s="67"/>
      <c r="N39" s="67"/>
      <c r="O39" s="67"/>
      <c r="P39" s="67"/>
      <c r="Q39" s="67"/>
      <c r="R39" s="67"/>
      <c r="S39" s="67"/>
      <c r="T39" s="67"/>
    </row>
    <row r="40" spans="1:20" ht="15">
      <c r="A40" s="108"/>
      <c r="B40" s="188" t="s">
        <v>283</v>
      </c>
      <c r="C40" s="194"/>
      <c r="D40" s="426">
        <v>5542</v>
      </c>
      <c r="E40" s="317">
        <v>5505</v>
      </c>
      <c r="F40" s="136">
        <v>7071</v>
      </c>
      <c r="G40" s="136"/>
      <c r="H40" s="496"/>
      <c r="I40" s="315"/>
      <c r="J40" s="103"/>
      <c r="K40" s="67"/>
      <c r="L40" s="67"/>
      <c r="M40" s="67"/>
      <c r="N40" s="67"/>
      <c r="O40" s="67"/>
      <c r="P40" s="67"/>
      <c r="Q40" s="67"/>
      <c r="R40" s="67"/>
      <c r="S40" s="67"/>
      <c r="T40" s="67"/>
    </row>
    <row r="41" spans="1:20" ht="15.75" thickBot="1">
      <c r="A41" s="108"/>
      <c r="B41" s="188"/>
      <c r="C41" s="194"/>
      <c r="D41" s="429"/>
      <c r="E41" s="316"/>
      <c r="F41" s="145"/>
      <c r="G41" s="151"/>
      <c r="H41" s="497"/>
      <c r="I41" s="145"/>
      <c r="J41" s="145"/>
      <c r="K41" s="67"/>
      <c r="L41" s="67"/>
      <c r="M41" s="67"/>
      <c r="N41" s="67"/>
      <c r="O41" s="67"/>
      <c r="P41" s="67"/>
      <c r="Q41" s="67"/>
      <c r="R41" s="67"/>
      <c r="S41" s="67"/>
      <c r="T41" s="67"/>
    </row>
    <row r="42" spans="1:20" ht="15.75" thickBot="1">
      <c r="A42" s="108"/>
      <c r="B42" s="199" t="s">
        <v>284</v>
      </c>
      <c r="C42" s="199"/>
      <c r="D42" s="495">
        <f>SUM(D31:D41)</f>
        <v>336210</v>
      </c>
      <c r="E42" s="350">
        <v>317035</v>
      </c>
      <c r="F42" s="350">
        <v>314165</v>
      </c>
      <c r="G42" s="150"/>
      <c r="H42" s="498">
        <f>SUM(H31:H41)</f>
        <v>8</v>
      </c>
      <c r="I42" s="318">
        <v>8</v>
      </c>
      <c r="J42" s="318">
        <v>6</v>
      </c>
      <c r="K42" s="67"/>
      <c r="L42" s="67"/>
      <c r="M42" s="67"/>
      <c r="N42" s="67"/>
      <c r="O42" s="67"/>
      <c r="P42" s="67"/>
      <c r="Q42" s="67"/>
      <c r="R42" s="67"/>
      <c r="S42" s="67"/>
      <c r="T42" s="67"/>
    </row>
    <row r="43" spans="1:20" ht="15.75" thickBot="1">
      <c r="A43" s="108"/>
      <c r="B43" s="195"/>
      <c r="C43" s="194"/>
      <c r="D43" s="429"/>
      <c r="E43" s="316"/>
      <c r="F43" s="316"/>
      <c r="G43" s="151"/>
      <c r="H43" s="497"/>
      <c r="I43" s="145"/>
      <c r="J43" s="145"/>
      <c r="K43" s="67"/>
      <c r="L43" s="67"/>
      <c r="M43" s="67"/>
      <c r="N43" s="67"/>
      <c r="O43" s="67"/>
      <c r="P43" s="67"/>
      <c r="Q43" s="67"/>
      <c r="R43" s="67"/>
      <c r="S43" s="67"/>
      <c r="T43" s="67"/>
    </row>
    <row r="44" spans="1:20" ht="15.75" thickBot="1">
      <c r="A44" s="108"/>
      <c r="B44" s="199" t="s">
        <v>285</v>
      </c>
      <c r="C44" s="194"/>
      <c r="D44" s="505">
        <f>D27-D42</f>
        <v>37049</v>
      </c>
      <c r="E44" s="356">
        <v>35998</v>
      </c>
      <c r="F44" s="356">
        <v>34115</v>
      </c>
      <c r="G44" s="357"/>
      <c r="H44" s="499">
        <f>H27-H42</f>
        <v>11180</v>
      </c>
      <c r="I44" s="356">
        <v>11151</v>
      </c>
      <c r="J44" s="357">
        <v>11000</v>
      </c>
      <c r="K44" s="67"/>
      <c r="L44" s="67"/>
      <c r="M44" s="67"/>
      <c r="N44" s="67"/>
      <c r="O44" s="67"/>
      <c r="P44" s="67"/>
      <c r="Q44" s="67"/>
      <c r="R44" s="67"/>
      <c r="S44" s="67"/>
      <c r="T44" s="67"/>
    </row>
    <row r="45" spans="1:20" ht="15.75" thickTop="1">
      <c r="A45" s="108"/>
      <c r="B45" s="195"/>
      <c r="C45" s="194"/>
      <c r="D45" s="146"/>
      <c r="E45" s="315"/>
      <c r="F45" s="147"/>
      <c r="G45" s="147"/>
      <c r="H45" s="496"/>
      <c r="I45" s="103"/>
      <c r="J45" s="103"/>
      <c r="K45" s="67"/>
      <c r="L45" s="67"/>
      <c r="M45" s="67"/>
      <c r="N45" s="67"/>
      <c r="O45" s="67"/>
      <c r="P45" s="67"/>
      <c r="Q45" s="67"/>
      <c r="R45" s="67"/>
      <c r="S45" s="67"/>
      <c r="T45" s="67"/>
    </row>
    <row r="46" spans="1:20" ht="15">
      <c r="A46" s="108"/>
      <c r="B46" s="176" t="s">
        <v>286</v>
      </c>
      <c r="C46" s="201"/>
      <c r="D46" s="146"/>
      <c r="E46" s="315"/>
      <c r="F46" s="147"/>
      <c r="G46" s="147"/>
      <c r="H46" s="496"/>
      <c r="I46" s="315"/>
      <c r="J46" s="103"/>
      <c r="K46" s="67"/>
      <c r="L46" s="67"/>
      <c r="M46" s="67"/>
      <c r="N46" s="67"/>
      <c r="O46" s="67"/>
      <c r="P46" s="67"/>
      <c r="Q46" s="67"/>
      <c r="R46" s="67"/>
      <c r="S46" s="67"/>
      <c r="T46" s="67"/>
    </row>
    <row r="47" spans="1:20" ht="15">
      <c r="A47" s="108"/>
      <c r="B47" s="195"/>
      <c r="C47" s="194"/>
      <c r="D47" s="146"/>
      <c r="E47" s="315"/>
      <c r="F47" s="147"/>
      <c r="G47" s="147"/>
      <c r="H47" s="496"/>
      <c r="I47" s="103"/>
      <c r="J47" s="103"/>
      <c r="K47" s="67"/>
      <c r="L47" s="67"/>
      <c r="M47" s="67"/>
      <c r="N47" s="67"/>
      <c r="O47" s="67"/>
      <c r="P47" s="67"/>
      <c r="Q47" s="67"/>
      <c r="R47" s="67"/>
      <c r="S47" s="67"/>
      <c r="T47" s="67"/>
    </row>
    <row r="48" spans="1:20" ht="15">
      <c r="A48" s="108"/>
      <c r="B48" s="188" t="s">
        <v>119</v>
      </c>
      <c r="C48" s="194"/>
      <c r="D48" s="426">
        <v>9659</v>
      </c>
      <c r="E48" s="317">
        <v>9645</v>
      </c>
      <c r="F48" s="136">
        <v>9370</v>
      </c>
      <c r="G48" s="136"/>
      <c r="H48" s="492">
        <v>9659</v>
      </c>
      <c r="I48" s="317">
        <v>9645</v>
      </c>
      <c r="J48" s="136">
        <v>9370</v>
      </c>
      <c r="K48" s="67"/>
      <c r="L48" s="67"/>
      <c r="M48" s="67"/>
      <c r="N48" s="67"/>
      <c r="O48" s="67"/>
      <c r="P48" s="67"/>
      <c r="Q48" s="67"/>
      <c r="R48" s="67"/>
      <c r="S48" s="67"/>
      <c r="T48" s="67"/>
    </row>
    <row r="49" spans="1:20" ht="15">
      <c r="A49" s="108"/>
      <c r="B49" s="188" t="s">
        <v>287</v>
      </c>
      <c r="C49" s="194"/>
      <c r="D49" s="423">
        <v>-69</v>
      </c>
      <c r="E49" s="250">
        <v>-103</v>
      </c>
      <c r="F49" s="135">
        <v>-108</v>
      </c>
      <c r="G49" s="103"/>
      <c r="H49" s="493">
        <v>-38</v>
      </c>
      <c r="I49" s="135">
        <v>-71</v>
      </c>
      <c r="J49" s="155">
        <v>-71</v>
      </c>
      <c r="K49" s="67"/>
      <c r="L49" s="67"/>
      <c r="M49" s="67"/>
      <c r="N49" s="67"/>
      <c r="O49" s="67"/>
      <c r="P49" s="67"/>
      <c r="Q49" s="67"/>
      <c r="R49" s="67"/>
      <c r="S49" s="67"/>
      <c r="T49" s="67"/>
    </row>
    <row r="50" spans="1:20" ht="15">
      <c r="A50" s="108"/>
      <c r="B50" s="188" t="s">
        <v>288</v>
      </c>
      <c r="C50" s="194"/>
      <c r="D50" s="426">
        <v>7228</v>
      </c>
      <c r="E50" s="317">
        <v>7229</v>
      </c>
      <c r="F50" s="136">
        <v>7080</v>
      </c>
      <c r="G50" s="136"/>
      <c r="H50" s="496">
        <v>84</v>
      </c>
      <c r="I50" s="315">
        <v>101</v>
      </c>
      <c r="J50" s="103">
        <v>54</v>
      </c>
      <c r="K50" s="67"/>
      <c r="L50" s="67"/>
      <c r="M50" s="67"/>
      <c r="N50" s="67"/>
      <c r="O50" s="67"/>
      <c r="P50" s="67"/>
      <c r="Q50" s="67"/>
      <c r="R50" s="67"/>
      <c r="S50" s="67"/>
      <c r="T50" s="67"/>
    </row>
    <row r="51" spans="1:20" ht="15">
      <c r="A51" s="108"/>
      <c r="B51" s="188" t="s">
        <v>289</v>
      </c>
      <c r="C51" s="194"/>
      <c r="D51" s="426">
        <v>15916</v>
      </c>
      <c r="E51" s="317">
        <v>14966</v>
      </c>
      <c r="F51" s="136">
        <v>13456</v>
      </c>
      <c r="G51" s="136"/>
      <c r="H51" s="492">
        <v>1475</v>
      </c>
      <c r="I51" s="136">
        <v>1476</v>
      </c>
      <c r="J51" s="136">
        <v>1647</v>
      </c>
      <c r="K51" s="67"/>
      <c r="L51" s="67"/>
      <c r="M51" s="67"/>
      <c r="N51" s="67"/>
      <c r="O51" s="67"/>
      <c r="P51" s="67"/>
      <c r="Q51" s="67"/>
      <c r="R51" s="67"/>
      <c r="S51" s="67"/>
      <c r="T51" s="67"/>
    </row>
    <row r="52" spans="1:20" ht="15.75" thickBot="1">
      <c r="A52" s="108"/>
      <c r="B52" s="195"/>
      <c r="C52" s="188"/>
      <c r="D52" s="429"/>
      <c r="E52" s="316"/>
      <c r="F52" s="145"/>
      <c r="G52" s="151"/>
      <c r="H52" s="497"/>
      <c r="I52" s="316"/>
      <c r="J52" s="145"/>
      <c r="K52" s="67"/>
      <c r="L52" s="67"/>
      <c r="M52" s="67"/>
      <c r="N52" s="67"/>
      <c r="O52" s="67"/>
      <c r="P52" s="67"/>
      <c r="Q52" s="67"/>
      <c r="R52" s="67"/>
      <c r="S52" s="67"/>
      <c r="T52" s="67"/>
    </row>
    <row r="53" spans="1:20" ht="15.75" thickBot="1">
      <c r="A53" s="108"/>
      <c r="B53" s="199" t="s">
        <v>290</v>
      </c>
      <c r="C53" s="188"/>
      <c r="D53" s="495">
        <f>SUM(D48:D51)</f>
        <v>32734</v>
      </c>
      <c r="E53" s="350">
        <v>31737</v>
      </c>
      <c r="F53" s="350">
        <v>29798</v>
      </c>
      <c r="G53" s="358"/>
      <c r="H53" s="500">
        <f>SUM(H48:H51)</f>
        <v>11180</v>
      </c>
      <c r="I53" s="358">
        <v>11151</v>
      </c>
      <c r="J53" s="350">
        <v>11000</v>
      </c>
      <c r="K53" s="67"/>
      <c r="L53" s="67"/>
      <c r="M53" s="67"/>
      <c r="N53" s="67"/>
      <c r="O53" s="67"/>
      <c r="P53" s="67"/>
      <c r="Q53" s="67"/>
      <c r="R53" s="67"/>
      <c r="S53" s="67"/>
      <c r="T53" s="67"/>
    </row>
    <row r="54" spans="1:20" ht="15">
      <c r="A54" s="108"/>
      <c r="B54" s="195"/>
      <c r="C54" s="194"/>
      <c r="D54" s="146"/>
      <c r="E54" s="315"/>
      <c r="F54" s="103"/>
      <c r="G54" s="147"/>
      <c r="H54" s="496"/>
      <c r="I54" s="315"/>
      <c r="J54" s="103"/>
      <c r="K54" s="67"/>
      <c r="L54" s="67"/>
      <c r="M54" s="67"/>
      <c r="N54" s="67"/>
      <c r="O54" s="67"/>
      <c r="P54" s="67"/>
      <c r="Q54" s="67"/>
      <c r="R54" s="67"/>
      <c r="S54" s="67"/>
      <c r="T54" s="67"/>
    </row>
    <row r="55" spans="1:20" ht="15">
      <c r="A55" s="108"/>
      <c r="B55" s="188" t="s">
        <v>357</v>
      </c>
      <c r="C55" s="194"/>
      <c r="D55" s="426">
        <v>4315</v>
      </c>
      <c r="E55" s="317">
        <v>4261</v>
      </c>
      <c r="F55" s="136">
        <v>4317</v>
      </c>
      <c r="G55" s="136"/>
      <c r="H55" s="496"/>
      <c r="I55" s="103"/>
      <c r="J55" s="103"/>
      <c r="K55" s="67"/>
      <c r="L55" s="67"/>
      <c r="M55" s="67"/>
      <c r="N55" s="67"/>
      <c r="O55" s="67"/>
      <c r="P55" s="67"/>
      <c r="Q55" s="67"/>
      <c r="R55" s="67"/>
      <c r="S55" s="67"/>
      <c r="T55" s="67"/>
    </row>
    <row r="56" spans="1:20" ht="15.75" thickBot="1">
      <c r="A56" s="108"/>
      <c r="B56" s="188"/>
      <c r="C56" s="188"/>
      <c r="D56" s="429"/>
      <c r="E56" s="316"/>
      <c r="F56" s="145"/>
      <c r="G56" s="151"/>
      <c r="H56" s="497"/>
      <c r="I56" s="316"/>
      <c r="J56" s="145"/>
      <c r="K56" s="67"/>
      <c r="L56" s="67"/>
      <c r="M56" s="67"/>
      <c r="N56" s="67"/>
      <c r="O56" s="67"/>
      <c r="P56" s="67"/>
      <c r="Q56" s="67"/>
      <c r="R56" s="67"/>
      <c r="S56" s="67"/>
      <c r="T56" s="67"/>
    </row>
    <row r="57" spans="1:20" ht="15.75" thickBot="1">
      <c r="A57" s="108"/>
      <c r="B57" s="199" t="s">
        <v>291</v>
      </c>
      <c r="C57" s="188"/>
      <c r="D57" s="505">
        <f>D53+D55</f>
        <v>37049</v>
      </c>
      <c r="E57" s="356">
        <v>35998</v>
      </c>
      <c r="F57" s="356">
        <v>34115</v>
      </c>
      <c r="G57" s="357"/>
      <c r="H57" s="499">
        <f>H53+H55</f>
        <v>11180</v>
      </c>
      <c r="I57" s="357">
        <v>11151</v>
      </c>
      <c r="J57" s="356">
        <v>11000</v>
      </c>
      <c r="K57" s="67"/>
      <c r="L57" s="67"/>
      <c r="M57" s="67"/>
      <c r="N57" s="67"/>
      <c r="O57" s="67"/>
      <c r="P57" s="67"/>
      <c r="Q57" s="67"/>
      <c r="R57" s="67"/>
      <c r="S57" s="67"/>
      <c r="T57" s="67"/>
    </row>
    <row r="58" spans="1:20" ht="15.75" thickTop="1">
      <c r="A58" s="108"/>
      <c r="B58" s="195"/>
      <c r="C58" s="194"/>
      <c r="D58" s="146"/>
      <c r="E58" s="353"/>
      <c r="F58" s="147"/>
      <c r="G58" s="147"/>
      <c r="H58" s="471"/>
      <c r="I58" s="103"/>
      <c r="J58" s="103"/>
      <c r="K58" s="67"/>
      <c r="L58" s="67"/>
      <c r="M58" s="67"/>
      <c r="N58" s="67"/>
      <c r="O58" s="67"/>
      <c r="P58" s="67"/>
      <c r="Q58" s="67"/>
      <c r="R58" s="67"/>
      <c r="S58" s="67"/>
      <c r="T58" s="67"/>
    </row>
    <row r="59" spans="1:20" ht="15">
      <c r="A59" s="108"/>
      <c r="B59" s="176" t="s">
        <v>292</v>
      </c>
      <c r="C59" s="176"/>
      <c r="D59" s="146"/>
      <c r="E59" s="353"/>
      <c r="F59" s="147"/>
      <c r="G59" s="147"/>
      <c r="H59" s="471"/>
      <c r="I59" s="353"/>
      <c r="J59" s="103"/>
      <c r="K59" s="67"/>
      <c r="L59" s="67"/>
      <c r="M59" s="67"/>
      <c r="N59" s="67"/>
      <c r="O59" s="67"/>
      <c r="P59" s="67"/>
      <c r="Q59" s="67"/>
      <c r="R59" s="67"/>
      <c r="S59" s="67"/>
      <c r="T59" s="67"/>
    </row>
    <row r="60" spans="1:20" ht="15">
      <c r="A60" s="108"/>
      <c r="B60" s="166" t="s">
        <v>341</v>
      </c>
      <c r="C60" s="194"/>
      <c r="D60" s="426">
        <v>25590</v>
      </c>
      <c r="E60" s="354">
        <v>21249</v>
      </c>
      <c r="F60" s="136">
        <v>21860</v>
      </c>
      <c r="G60" s="136"/>
      <c r="H60" s="472"/>
      <c r="I60" s="331"/>
      <c r="J60" s="147"/>
      <c r="K60" s="67"/>
      <c r="L60" s="67"/>
      <c r="M60" s="67"/>
      <c r="N60" s="67"/>
      <c r="O60" s="67"/>
      <c r="P60" s="67"/>
      <c r="Q60" s="67"/>
      <c r="R60" s="67"/>
      <c r="S60" s="67"/>
      <c r="T60" s="67"/>
    </row>
    <row r="61" spans="1:20" ht="15">
      <c r="A61" s="108"/>
      <c r="B61" s="166" t="s">
        <v>340</v>
      </c>
      <c r="C61" s="194"/>
      <c r="D61" s="426">
        <v>142216</v>
      </c>
      <c r="E61" s="354">
        <v>135803</v>
      </c>
      <c r="F61" s="136">
        <v>125742</v>
      </c>
      <c r="G61" s="136"/>
      <c r="H61" s="472"/>
      <c r="I61" s="331"/>
      <c r="J61" s="147"/>
      <c r="K61" s="67"/>
      <c r="L61" s="67"/>
      <c r="M61" s="67"/>
      <c r="N61" s="67"/>
      <c r="O61" s="67"/>
      <c r="P61" s="67"/>
      <c r="Q61" s="67"/>
      <c r="R61" s="67"/>
      <c r="S61" s="67"/>
      <c r="T61" s="67"/>
    </row>
    <row r="62" spans="1:20" ht="15.75" thickBot="1">
      <c r="A62" s="108"/>
      <c r="B62" s="188" t="s">
        <v>293</v>
      </c>
      <c r="C62" s="194"/>
      <c r="D62" s="457">
        <v>1465082</v>
      </c>
      <c r="E62" s="355">
        <v>1426209</v>
      </c>
      <c r="F62" s="150">
        <v>1663069</v>
      </c>
      <c r="G62" s="205"/>
      <c r="H62" s="473"/>
      <c r="I62" s="359"/>
      <c r="J62" s="147"/>
      <c r="K62" s="67"/>
      <c r="L62" s="67"/>
      <c r="M62" s="67"/>
      <c r="N62" s="67"/>
      <c r="O62" s="67"/>
      <c r="P62" s="67"/>
      <c r="Q62" s="67"/>
      <c r="R62" s="67"/>
      <c r="S62" s="67"/>
      <c r="T62" s="67"/>
    </row>
    <row r="63" spans="1:20" ht="15">
      <c r="A63" s="108"/>
      <c r="B63" s="188"/>
      <c r="C63" s="194"/>
      <c r="D63" s="146"/>
      <c r="E63" s="353"/>
      <c r="F63" s="147"/>
      <c r="G63" s="147"/>
      <c r="H63" s="471"/>
      <c r="I63" s="353"/>
      <c r="J63" s="147"/>
      <c r="K63" s="67"/>
      <c r="L63" s="67"/>
      <c r="M63" s="67"/>
      <c r="N63" s="67"/>
      <c r="O63" s="67"/>
      <c r="P63" s="67"/>
      <c r="Q63" s="67"/>
      <c r="R63" s="67"/>
      <c r="S63" s="67"/>
      <c r="T63" s="67"/>
    </row>
    <row r="64" spans="1:20" ht="15">
      <c r="A64" s="108"/>
      <c r="B64" s="188"/>
      <c r="C64" s="194"/>
      <c r="D64" s="146"/>
      <c r="E64" s="353"/>
      <c r="F64" s="147"/>
      <c r="G64" s="147"/>
      <c r="H64" s="471"/>
      <c r="I64" s="353"/>
      <c r="J64" s="147"/>
      <c r="K64" s="67"/>
      <c r="L64" s="67"/>
      <c r="M64" s="67"/>
      <c r="N64" s="67"/>
      <c r="O64" s="67"/>
      <c r="P64" s="67"/>
      <c r="Q64" s="67"/>
      <c r="R64" s="67"/>
      <c r="S64" s="67"/>
      <c r="T64" s="67"/>
    </row>
    <row r="65" spans="1:20" ht="15">
      <c r="A65" s="108"/>
      <c r="B65" s="176" t="s">
        <v>336</v>
      </c>
      <c r="C65" s="194"/>
      <c r="D65" s="146"/>
      <c r="E65" s="353"/>
      <c r="F65" s="195"/>
      <c r="G65" s="152"/>
      <c r="H65" s="470"/>
      <c r="I65" s="353"/>
      <c r="J65" s="147"/>
      <c r="K65" s="67"/>
      <c r="L65" s="67"/>
      <c r="M65" s="67"/>
      <c r="N65" s="67"/>
      <c r="O65" s="67"/>
      <c r="P65" s="67"/>
      <c r="Q65" s="67"/>
      <c r="R65" s="67"/>
      <c r="S65" s="67"/>
      <c r="T65" s="67"/>
    </row>
    <row r="66" spans="1:20" ht="15">
      <c r="A66" s="108"/>
      <c r="B66" s="188" t="s">
        <v>413</v>
      </c>
      <c r="C66" s="194"/>
      <c r="D66" s="315"/>
      <c r="E66" s="353"/>
      <c r="F66" s="315"/>
      <c r="G66" s="146"/>
      <c r="H66" s="471"/>
      <c r="I66" s="353"/>
      <c r="J66" s="315"/>
      <c r="K66" s="67"/>
      <c r="L66" s="67"/>
      <c r="M66" s="67"/>
      <c r="N66" s="67"/>
      <c r="O66" s="67"/>
      <c r="P66" s="67"/>
      <c r="Q66" s="67"/>
      <c r="R66" s="67"/>
      <c r="S66" s="67"/>
      <c r="T66" s="67"/>
    </row>
    <row r="67" spans="1:20" ht="15">
      <c r="A67" s="108"/>
      <c r="B67" s="202" t="s">
        <v>372</v>
      </c>
      <c r="C67" s="194"/>
      <c r="D67" s="454">
        <v>13.35</v>
      </c>
      <c r="E67" s="454">
        <v>12.96</v>
      </c>
      <c r="F67" s="315">
        <v>12.28</v>
      </c>
      <c r="G67" s="146"/>
      <c r="H67" s="315">
        <v>4.51</v>
      </c>
      <c r="I67" s="327">
        <v>4.51</v>
      </c>
      <c r="J67" s="328">
        <v>4.49</v>
      </c>
      <c r="K67" s="80"/>
      <c r="L67" s="67"/>
      <c r="M67" s="67"/>
      <c r="N67" s="67"/>
      <c r="O67" s="67"/>
      <c r="P67" s="67"/>
      <c r="Q67" s="67"/>
      <c r="R67" s="67"/>
      <c r="S67" s="67"/>
      <c r="T67" s="67"/>
    </row>
    <row r="68" spans="1:20" ht="15">
      <c r="A68" s="108"/>
      <c r="B68" s="202" t="s">
        <v>373</v>
      </c>
      <c r="C68" s="194"/>
      <c r="D68" s="315">
        <v>13.25</v>
      </c>
      <c r="E68" s="315">
        <v>12.86</v>
      </c>
      <c r="F68" s="315">
        <v>12.19</v>
      </c>
      <c r="G68" s="146"/>
      <c r="H68" s="327">
        <v>4.53</v>
      </c>
      <c r="I68" s="327">
        <v>4.53</v>
      </c>
      <c r="J68" s="328">
        <v>4.51</v>
      </c>
      <c r="K68" s="80"/>
      <c r="L68" s="67"/>
      <c r="M68" s="67"/>
      <c r="N68" s="67"/>
      <c r="O68" s="67"/>
      <c r="P68" s="67"/>
      <c r="Q68" s="67"/>
      <c r="R68" s="67"/>
      <c r="S68" s="67"/>
      <c r="T68" s="67"/>
    </row>
    <row r="69" spans="1:20" ht="15" thickBot="1">
      <c r="A69" s="108"/>
      <c r="B69" s="203"/>
      <c r="C69" s="204"/>
      <c r="D69" s="382"/>
      <c r="E69" s="329"/>
      <c r="F69" s="330"/>
      <c r="G69" s="330"/>
      <c r="H69" s="379"/>
      <c r="I69" s="330"/>
      <c r="J69" s="330"/>
      <c r="K69" s="80"/>
      <c r="L69" s="67"/>
      <c r="M69" s="67"/>
      <c r="N69" s="67"/>
      <c r="O69" s="67"/>
      <c r="P69" s="67"/>
      <c r="Q69" s="67"/>
      <c r="R69" s="67"/>
      <c r="S69" s="67"/>
      <c r="T69" s="67"/>
    </row>
    <row r="70" spans="1:20" ht="15" thickTop="1">
      <c r="A70" s="108"/>
      <c r="B70" s="67"/>
      <c r="C70" s="67"/>
      <c r="D70" s="383"/>
      <c r="E70" s="67"/>
      <c r="F70" s="67"/>
      <c r="G70" s="67"/>
      <c r="H70" s="383"/>
      <c r="I70" s="67"/>
      <c r="J70" s="67"/>
      <c r="K70" s="67"/>
      <c r="L70" s="67"/>
      <c r="M70" s="67"/>
      <c r="N70" s="67"/>
      <c r="O70" s="67"/>
      <c r="P70" s="67"/>
      <c r="Q70" s="67"/>
      <c r="R70" s="67"/>
      <c r="S70" s="67"/>
      <c r="T70" s="67"/>
    </row>
    <row r="71" spans="1:20" ht="14.25">
      <c r="A71" s="108"/>
      <c r="B71" s="67"/>
      <c r="C71" s="67"/>
      <c r="D71" s="383"/>
      <c r="E71" s="67"/>
      <c r="F71" s="67"/>
      <c r="G71" s="67"/>
      <c r="H71" s="383"/>
      <c r="I71" s="67"/>
      <c r="J71" s="67"/>
      <c r="K71" s="67"/>
      <c r="L71" s="67"/>
      <c r="M71" s="67"/>
      <c r="N71" s="67"/>
      <c r="O71" s="67"/>
      <c r="P71" s="67"/>
      <c r="Q71" s="67"/>
      <c r="R71" s="67"/>
      <c r="S71" s="67"/>
      <c r="T71" s="67"/>
    </row>
    <row r="72" spans="1:20" ht="14.25">
      <c r="A72" s="108"/>
      <c r="B72" s="67"/>
      <c r="C72" s="67"/>
      <c r="D72" s="383"/>
      <c r="E72" s="67"/>
      <c r="F72" s="67"/>
      <c r="G72" s="67"/>
      <c r="H72" s="383"/>
      <c r="I72" s="67"/>
      <c r="J72" s="67"/>
      <c r="K72" s="67"/>
      <c r="L72" s="67"/>
      <c r="M72" s="67"/>
      <c r="N72" s="67"/>
      <c r="O72" s="67"/>
      <c r="P72" s="67"/>
      <c r="Q72" s="67"/>
      <c r="R72" s="67"/>
      <c r="S72" s="67"/>
      <c r="T72" s="67"/>
    </row>
    <row r="73" spans="1:20" ht="14.25">
      <c r="A73" s="108"/>
      <c r="B73" s="67"/>
      <c r="C73" s="67"/>
      <c r="D73" s="383"/>
      <c r="E73" s="67"/>
      <c r="F73" s="67"/>
      <c r="G73" s="67"/>
      <c r="H73" s="383"/>
      <c r="I73" s="67"/>
      <c r="J73" s="67"/>
      <c r="K73" s="67"/>
      <c r="L73" s="67"/>
      <c r="M73" s="67"/>
      <c r="N73" s="67"/>
      <c r="O73" s="67"/>
      <c r="P73" s="67"/>
      <c r="Q73" s="67"/>
      <c r="R73" s="67"/>
      <c r="S73" s="67"/>
      <c r="T73" s="67"/>
    </row>
    <row r="74" spans="2:20" ht="14.25">
      <c r="B74" s="67"/>
      <c r="C74" s="67"/>
      <c r="D74" s="383"/>
      <c r="E74" s="67"/>
      <c r="F74" s="67"/>
      <c r="G74" s="67"/>
      <c r="H74" s="383"/>
      <c r="I74" s="67"/>
      <c r="J74" s="67"/>
      <c r="K74" s="67"/>
      <c r="L74" s="67"/>
      <c r="M74" s="67"/>
      <c r="N74" s="67"/>
      <c r="O74" s="67"/>
      <c r="P74" s="67"/>
      <c r="Q74" s="67"/>
      <c r="R74" s="67"/>
      <c r="S74" s="67"/>
      <c r="T74" s="67"/>
    </row>
    <row r="75" spans="2:20" ht="14.25">
      <c r="B75" s="67"/>
      <c r="C75" s="67"/>
      <c r="D75" s="67"/>
      <c r="E75" s="67"/>
      <c r="F75" s="67"/>
      <c r="G75" s="67"/>
      <c r="H75" s="383"/>
      <c r="I75" s="67"/>
      <c r="J75" s="67"/>
      <c r="K75" s="67"/>
      <c r="L75" s="67"/>
      <c r="M75" s="67"/>
      <c r="N75" s="67"/>
      <c r="O75" s="67"/>
      <c r="P75" s="67"/>
      <c r="Q75" s="67"/>
      <c r="R75" s="67"/>
      <c r="S75" s="67"/>
      <c r="T75" s="67"/>
    </row>
    <row r="76" spans="2:20" ht="14.25">
      <c r="B76" s="67"/>
      <c r="C76" s="67"/>
      <c r="D76" s="67"/>
      <c r="E76" s="67"/>
      <c r="F76" s="67"/>
      <c r="G76" s="67"/>
      <c r="H76" s="67"/>
      <c r="I76" s="67"/>
      <c r="J76" s="67"/>
      <c r="K76" s="67"/>
      <c r="L76" s="67"/>
      <c r="M76" s="67"/>
      <c r="N76" s="67"/>
      <c r="O76" s="67"/>
      <c r="P76" s="67"/>
      <c r="Q76" s="67"/>
      <c r="R76" s="67"/>
      <c r="S76" s="67"/>
      <c r="T76" s="67"/>
    </row>
    <row r="77" spans="2:20" ht="14.25">
      <c r="B77" s="67"/>
      <c r="C77" s="67"/>
      <c r="D77" s="67"/>
      <c r="E77" s="67"/>
      <c r="F77" s="67"/>
      <c r="G77" s="67"/>
      <c r="H77" s="67"/>
      <c r="I77" s="67"/>
      <c r="J77" s="67"/>
      <c r="K77" s="67"/>
      <c r="L77" s="67"/>
      <c r="M77" s="67"/>
      <c r="N77" s="67"/>
      <c r="O77" s="67"/>
      <c r="P77" s="67"/>
      <c r="Q77" s="67"/>
      <c r="R77" s="67"/>
      <c r="S77" s="67"/>
      <c r="T77" s="67"/>
    </row>
    <row r="78" spans="2:20" ht="14.25">
      <c r="B78" s="67"/>
      <c r="C78" s="67"/>
      <c r="D78" s="67"/>
      <c r="E78" s="67"/>
      <c r="F78" s="67"/>
      <c r="G78" s="67"/>
      <c r="H78" s="67"/>
      <c r="I78" s="67"/>
      <c r="J78" s="67"/>
      <c r="K78" s="67"/>
      <c r="L78" s="67"/>
      <c r="M78" s="67"/>
      <c r="N78" s="67"/>
      <c r="O78" s="67"/>
      <c r="P78" s="67"/>
      <c r="Q78" s="67"/>
      <c r="R78" s="67"/>
      <c r="S78" s="67"/>
      <c r="T78" s="67"/>
    </row>
    <row r="79" spans="2:20" ht="14.25">
      <c r="B79" s="67"/>
      <c r="C79" s="67"/>
      <c r="D79" s="67"/>
      <c r="E79" s="67"/>
      <c r="F79" s="67"/>
      <c r="G79" s="67"/>
      <c r="H79" s="67"/>
      <c r="I79" s="67"/>
      <c r="J79" s="67"/>
      <c r="K79" s="67"/>
      <c r="L79" s="67"/>
      <c r="M79" s="67"/>
      <c r="N79" s="67"/>
      <c r="O79" s="67"/>
      <c r="P79" s="67"/>
      <c r="Q79" s="67"/>
      <c r="R79" s="67"/>
      <c r="S79" s="67"/>
      <c r="T79" s="67"/>
    </row>
    <row r="80" spans="2:20" ht="14.25">
      <c r="B80" s="67"/>
      <c r="C80" s="67"/>
      <c r="D80" s="67"/>
      <c r="E80" s="67"/>
      <c r="F80" s="67"/>
      <c r="G80" s="67"/>
      <c r="H80" s="67"/>
      <c r="I80" s="67"/>
      <c r="J80" s="67"/>
      <c r="K80" s="67"/>
      <c r="L80" s="67"/>
      <c r="M80" s="67"/>
      <c r="N80" s="67"/>
      <c r="O80" s="67"/>
      <c r="P80" s="67"/>
      <c r="Q80" s="67"/>
      <c r="R80" s="67"/>
      <c r="S80" s="67"/>
      <c r="T80" s="67"/>
    </row>
    <row r="81" spans="2:20" ht="14.25">
      <c r="B81" s="67"/>
      <c r="C81" s="67"/>
      <c r="D81" s="67"/>
      <c r="E81" s="67"/>
      <c r="F81" s="67"/>
      <c r="G81" s="67"/>
      <c r="H81" s="67"/>
      <c r="I81" s="67"/>
      <c r="J81" s="67"/>
      <c r="K81" s="67"/>
      <c r="L81" s="67"/>
      <c r="M81" s="67"/>
      <c r="N81" s="67"/>
      <c r="O81" s="67"/>
      <c r="P81" s="67"/>
      <c r="Q81" s="67"/>
      <c r="R81" s="67"/>
      <c r="S81" s="67"/>
      <c r="T81" s="67"/>
    </row>
    <row r="82" spans="2:20" ht="14.25">
      <c r="B82" s="67"/>
      <c r="C82" s="67"/>
      <c r="D82" s="67"/>
      <c r="E82" s="67"/>
      <c r="F82" s="67"/>
      <c r="G82" s="67"/>
      <c r="H82" s="67"/>
      <c r="I82" s="67"/>
      <c r="J82" s="67"/>
      <c r="K82" s="67"/>
      <c r="L82" s="67"/>
      <c r="M82" s="67"/>
      <c r="N82" s="67"/>
      <c r="O82" s="67"/>
      <c r="P82" s="67"/>
      <c r="Q82" s="67"/>
      <c r="R82" s="67"/>
      <c r="S82" s="67"/>
      <c r="T82" s="67"/>
    </row>
    <row r="83" spans="2:20" ht="14.25">
      <c r="B83" s="67"/>
      <c r="C83" s="67"/>
      <c r="D83" s="67"/>
      <c r="E83" s="67"/>
      <c r="F83" s="67"/>
      <c r="G83" s="67"/>
      <c r="H83" s="67"/>
      <c r="I83" s="67"/>
      <c r="J83" s="67"/>
      <c r="K83" s="67"/>
      <c r="L83" s="67"/>
      <c r="M83" s="67"/>
      <c r="N83" s="67"/>
      <c r="O83" s="67"/>
      <c r="P83" s="67"/>
      <c r="Q83" s="67"/>
      <c r="R83" s="67"/>
      <c r="S83" s="67"/>
      <c r="T83" s="67"/>
    </row>
    <row r="84" spans="2:20" ht="14.25">
      <c r="B84" s="67"/>
      <c r="C84" s="67"/>
      <c r="D84" s="67"/>
      <c r="E84" s="67"/>
      <c r="F84" s="67"/>
      <c r="G84" s="67"/>
      <c r="H84" s="67"/>
      <c r="I84" s="67"/>
      <c r="J84" s="67"/>
      <c r="K84" s="67"/>
      <c r="L84" s="67"/>
      <c r="M84" s="67"/>
      <c r="N84" s="67"/>
      <c r="O84" s="67"/>
      <c r="P84" s="67"/>
      <c r="Q84" s="67"/>
      <c r="R84" s="67"/>
      <c r="S84" s="67"/>
      <c r="T84" s="67"/>
    </row>
    <row r="85" spans="2:20" ht="14.25">
      <c r="B85" s="67"/>
      <c r="C85" s="67"/>
      <c r="D85" s="67"/>
      <c r="E85" s="67"/>
      <c r="F85" s="67"/>
      <c r="G85" s="67"/>
      <c r="H85" s="67"/>
      <c r="I85" s="67"/>
      <c r="J85" s="67"/>
      <c r="K85" s="67"/>
      <c r="L85" s="67"/>
      <c r="M85" s="67"/>
      <c r="N85" s="67"/>
      <c r="O85" s="67"/>
      <c r="P85" s="67"/>
      <c r="Q85" s="67"/>
      <c r="R85" s="67"/>
      <c r="S85" s="67"/>
      <c r="T85" s="67"/>
    </row>
    <row r="86" spans="2:20" ht="14.25">
      <c r="B86" s="67"/>
      <c r="C86" s="67"/>
      <c r="D86" s="67"/>
      <c r="E86" s="67"/>
      <c r="F86" s="67"/>
      <c r="G86" s="67"/>
      <c r="H86" s="67"/>
      <c r="I86" s="67"/>
      <c r="J86" s="67"/>
      <c r="K86" s="67"/>
      <c r="L86" s="67"/>
      <c r="M86" s="67"/>
      <c r="N86" s="67"/>
      <c r="O86" s="67"/>
      <c r="P86" s="67"/>
      <c r="Q86" s="67"/>
      <c r="R86" s="67"/>
      <c r="S86" s="67"/>
      <c r="T86" s="67"/>
    </row>
    <row r="87" spans="2:20" ht="14.25">
      <c r="B87" s="67"/>
      <c r="C87" s="67"/>
      <c r="D87" s="67"/>
      <c r="E87" s="67"/>
      <c r="F87" s="67"/>
      <c r="G87" s="67"/>
      <c r="H87" s="67"/>
      <c r="I87" s="67"/>
      <c r="J87" s="67"/>
      <c r="K87" s="67"/>
      <c r="L87" s="67"/>
      <c r="M87" s="67"/>
      <c r="N87" s="67"/>
      <c r="O87" s="67"/>
      <c r="P87" s="67"/>
      <c r="Q87" s="67"/>
      <c r="R87" s="67"/>
      <c r="S87" s="67"/>
      <c r="T87" s="67"/>
    </row>
    <row r="88" spans="2:20" ht="14.25">
      <c r="B88" s="67"/>
      <c r="C88" s="67"/>
      <c r="D88" s="67"/>
      <c r="E88" s="67"/>
      <c r="F88" s="67"/>
      <c r="G88" s="67"/>
      <c r="H88" s="67"/>
      <c r="I88" s="67"/>
      <c r="J88" s="67"/>
      <c r="K88" s="67"/>
      <c r="L88" s="67"/>
      <c r="M88" s="67"/>
      <c r="N88" s="67"/>
      <c r="O88" s="67"/>
      <c r="P88" s="67"/>
      <c r="Q88" s="67"/>
      <c r="R88" s="67"/>
      <c r="S88" s="67"/>
      <c r="T88" s="67"/>
    </row>
    <row r="89" spans="2:20" ht="14.25">
      <c r="B89" s="67"/>
      <c r="C89" s="67"/>
      <c r="D89" s="67"/>
      <c r="E89" s="67"/>
      <c r="F89" s="67"/>
      <c r="G89" s="67"/>
      <c r="H89" s="67"/>
      <c r="I89" s="67"/>
      <c r="J89" s="67"/>
      <c r="K89" s="67"/>
      <c r="L89" s="67"/>
      <c r="M89" s="67"/>
      <c r="N89" s="67"/>
      <c r="O89" s="67"/>
      <c r="P89" s="67"/>
      <c r="Q89" s="67"/>
      <c r="R89" s="67"/>
      <c r="S89" s="67"/>
      <c r="T89" s="67"/>
    </row>
    <row r="90" spans="2:20" ht="14.25">
      <c r="B90" s="67"/>
      <c r="C90" s="67"/>
      <c r="D90" s="67"/>
      <c r="E90" s="67"/>
      <c r="F90" s="67"/>
      <c r="G90" s="67"/>
      <c r="H90" s="67"/>
      <c r="I90" s="67"/>
      <c r="J90" s="67"/>
      <c r="K90" s="67"/>
      <c r="L90" s="67"/>
      <c r="M90" s="67"/>
      <c r="N90" s="67"/>
      <c r="O90" s="67"/>
      <c r="P90" s="67"/>
      <c r="Q90" s="67"/>
      <c r="R90" s="67"/>
      <c r="S90" s="67"/>
      <c r="T90" s="67"/>
    </row>
    <row r="91" spans="2:20" ht="14.25">
      <c r="B91" s="67"/>
      <c r="C91" s="67"/>
      <c r="D91" s="67"/>
      <c r="E91" s="67"/>
      <c r="F91" s="67"/>
      <c r="G91" s="67"/>
      <c r="H91" s="67"/>
      <c r="I91" s="67"/>
      <c r="J91" s="67"/>
      <c r="K91" s="67"/>
      <c r="L91" s="67"/>
      <c r="M91" s="67"/>
      <c r="N91" s="67"/>
      <c r="O91" s="67"/>
      <c r="P91" s="67"/>
      <c r="Q91" s="67"/>
      <c r="R91" s="67"/>
      <c r="S91" s="67"/>
      <c r="T91" s="67"/>
    </row>
    <row r="92" spans="2:20" ht="14.25">
      <c r="B92" s="67"/>
      <c r="C92" s="67"/>
      <c r="D92" s="67"/>
      <c r="E92" s="67"/>
      <c r="F92" s="67"/>
      <c r="G92" s="67"/>
      <c r="H92" s="67"/>
      <c r="I92" s="67"/>
      <c r="J92" s="67"/>
      <c r="K92" s="67"/>
      <c r="L92" s="67"/>
      <c r="M92" s="67"/>
      <c r="N92" s="67"/>
      <c r="O92" s="67"/>
      <c r="P92" s="67"/>
      <c r="Q92" s="67"/>
      <c r="R92" s="67"/>
      <c r="S92" s="67"/>
      <c r="T92" s="67"/>
    </row>
    <row r="93" spans="2:20" ht="14.25">
      <c r="B93" s="67"/>
      <c r="C93" s="67"/>
      <c r="D93" s="67"/>
      <c r="E93" s="67"/>
      <c r="F93" s="67"/>
      <c r="G93" s="67"/>
      <c r="H93" s="67"/>
      <c r="I93" s="67"/>
      <c r="J93" s="67"/>
      <c r="K93" s="67"/>
      <c r="L93" s="67"/>
      <c r="M93" s="67"/>
      <c r="N93" s="67"/>
      <c r="O93" s="67"/>
      <c r="P93" s="67"/>
      <c r="Q93" s="67"/>
      <c r="R93" s="67"/>
      <c r="S93" s="67"/>
      <c r="T93" s="67"/>
    </row>
    <row r="94" spans="2:20" ht="14.25">
      <c r="B94" s="67"/>
      <c r="C94" s="67"/>
      <c r="D94" s="67"/>
      <c r="E94" s="67"/>
      <c r="F94" s="67"/>
      <c r="G94" s="67"/>
      <c r="H94" s="67"/>
      <c r="I94" s="67"/>
      <c r="J94" s="67"/>
      <c r="K94" s="67"/>
      <c r="L94" s="67"/>
      <c r="M94" s="67"/>
      <c r="N94" s="67"/>
      <c r="O94" s="67"/>
      <c r="P94" s="67"/>
      <c r="Q94" s="67"/>
      <c r="R94" s="67"/>
      <c r="S94" s="67"/>
      <c r="T94" s="67"/>
    </row>
    <row r="95" spans="2:20" ht="14.25">
      <c r="B95" s="67"/>
      <c r="C95" s="67"/>
      <c r="D95" s="67"/>
      <c r="E95" s="67"/>
      <c r="F95" s="67"/>
      <c r="G95" s="67"/>
      <c r="H95" s="67"/>
      <c r="I95" s="67"/>
      <c r="J95" s="67"/>
      <c r="K95" s="67"/>
      <c r="L95" s="67"/>
      <c r="M95" s="67"/>
      <c r="N95" s="67"/>
      <c r="O95" s="67"/>
      <c r="P95" s="67"/>
      <c r="Q95" s="67"/>
      <c r="R95" s="67"/>
      <c r="S95" s="67"/>
      <c r="T95" s="67"/>
    </row>
    <row r="96" spans="2:20" ht="14.25">
      <c r="B96" s="67"/>
      <c r="C96" s="67"/>
      <c r="D96" s="67"/>
      <c r="E96" s="67"/>
      <c r="F96" s="67"/>
      <c r="G96" s="67"/>
      <c r="H96" s="67"/>
      <c r="I96" s="67"/>
      <c r="J96" s="67"/>
      <c r="K96" s="67"/>
      <c r="L96" s="67"/>
      <c r="M96" s="67"/>
      <c r="N96" s="67"/>
      <c r="O96" s="67"/>
      <c r="P96" s="67"/>
      <c r="Q96" s="67"/>
      <c r="R96" s="67"/>
      <c r="S96" s="67"/>
      <c r="T96" s="67"/>
    </row>
    <row r="97" spans="2:20" ht="14.25">
      <c r="B97" s="67"/>
      <c r="C97" s="67"/>
      <c r="D97" s="67"/>
      <c r="E97" s="67"/>
      <c r="F97" s="67"/>
      <c r="G97" s="67"/>
      <c r="H97" s="67"/>
      <c r="I97" s="67"/>
      <c r="J97" s="67"/>
      <c r="K97" s="67"/>
      <c r="L97" s="67"/>
      <c r="M97" s="67"/>
      <c r="N97" s="67"/>
      <c r="O97" s="67"/>
      <c r="P97" s="67"/>
      <c r="Q97" s="67"/>
      <c r="R97" s="67"/>
      <c r="S97" s="67"/>
      <c r="T97" s="67"/>
    </row>
    <row r="98" spans="2:20" ht="14.25">
      <c r="B98" s="67"/>
      <c r="C98" s="67"/>
      <c r="D98" s="67"/>
      <c r="E98" s="67"/>
      <c r="F98" s="67"/>
      <c r="G98" s="67"/>
      <c r="H98" s="67"/>
      <c r="I98" s="67"/>
      <c r="J98" s="67"/>
      <c r="K98" s="67"/>
      <c r="L98" s="67"/>
      <c r="M98" s="67"/>
      <c r="N98" s="67"/>
      <c r="O98" s="67"/>
      <c r="P98" s="67"/>
      <c r="Q98" s="67"/>
      <c r="R98" s="67"/>
      <c r="S98" s="67"/>
      <c r="T98" s="67"/>
    </row>
    <row r="99" spans="2:20" ht="14.25">
      <c r="B99" s="67"/>
      <c r="C99" s="67"/>
      <c r="D99" s="67"/>
      <c r="E99" s="67"/>
      <c r="F99" s="67"/>
      <c r="G99" s="67"/>
      <c r="H99" s="67"/>
      <c r="I99" s="67"/>
      <c r="J99" s="67"/>
      <c r="K99" s="67"/>
      <c r="L99" s="67"/>
      <c r="M99" s="67"/>
      <c r="N99" s="67"/>
      <c r="O99" s="67"/>
      <c r="P99" s="67"/>
      <c r="Q99" s="67"/>
      <c r="R99" s="67"/>
      <c r="S99" s="67"/>
      <c r="T99" s="67"/>
    </row>
    <row r="100" spans="2:20" ht="14.25">
      <c r="B100" s="67"/>
      <c r="C100" s="67"/>
      <c r="D100" s="67"/>
      <c r="E100" s="67"/>
      <c r="F100" s="67"/>
      <c r="G100" s="67"/>
      <c r="H100" s="67"/>
      <c r="I100" s="67"/>
      <c r="J100" s="67"/>
      <c r="K100" s="67"/>
      <c r="L100" s="67"/>
      <c r="M100" s="67"/>
      <c r="N100" s="67"/>
      <c r="O100" s="67"/>
      <c r="P100" s="67"/>
      <c r="Q100" s="67"/>
      <c r="R100" s="67"/>
      <c r="S100" s="67"/>
      <c r="T100" s="67"/>
    </row>
    <row r="101" spans="2:20" ht="14.25">
      <c r="B101" s="67"/>
      <c r="C101" s="67"/>
      <c r="D101" s="67"/>
      <c r="E101" s="67"/>
      <c r="F101" s="67"/>
      <c r="G101" s="67"/>
      <c r="H101" s="67"/>
      <c r="I101" s="67"/>
      <c r="J101" s="67"/>
      <c r="K101" s="67"/>
      <c r="L101" s="67"/>
      <c r="M101" s="67"/>
      <c r="N101" s="67"/>
      <c r="O101" s="67"/>
      <c r="P101" s="67"/>
      <c r="Q101" s="67"/>
      <c r="R101" s="67"/>
      <c r="S101" s="67"/>
      <c r="T101" s="67"/>
    </row>
    <row r="102" spans="2:20" ht="14.25">
      <c r="B102" s="67"/>
      <c r="C102" s="67"/>
      <c r="D102" s="67"/>
      <c r="E102" s="67"/>
      <c r="F102" s="67"/>
      <c r="G102" s="67"/>
      <c r="H102" s="67"/>
      <c r="I102" s="67"/>
      <c r="J102" s="67"/>
      <c r="K102" s="67"/>
      <c r="L102" s="67"/>
      <c r="M102" s="67"/>
      <c r="N102" s="67"/>
      <c r="O102" s="67"/>
      <c r="P102" s="67"/>
      <c r="Q102" s="67"/>
      <c r="R102" s="67"/>
      <c r="S102" s="67"/>
      <c r="T102" s="67"/>
    </row>
    <row r="103" spans="2:20" ht="14.25">
      <c r="B103" s="67"/>
      <c r="C103" s="67"/>
      <c r="D103" s="67"/>
      <c r="E103" s="67"/>
      <c r="F103" s="67"/>
      <c r="G103" s="67"/>
      <c r="H103" s="67"/>
      <c r="I103" s="67"/>
      <c r="J103" s="67"/>
      <c r="K103" s="67"/>
      <c r="L103" s="67"/>
      <c r="M103" s="67"/>
      <c r="N103" s="67"/>
      <c r="O103" s="67"/>
      <c r="P103" s="67"/>
      <c r="Q103" s="67"/>
      <c r="R103" s="67"/>
      <c r="S103" s="67"/>
      <c r="T103" s="67"/>
    </row>
    <row r="104" spans="2:20" ht="14.25">
      <c r="B104" s="67"/>
      <c r="C104" s="67"/>
      <c r="D104" s="67"/>
      <c r="E104" s="67"/>
      <c r="F104" s="67"/>
      <c r="G104" s="67"/>
      <c r="H104" s="67"/>
      <c r="I104" s="67"/>
      <c r="J104" s="67"/>
      <c r="K104" s="67"/>
      <c r="L104" s="67"/>
      <c r="M104" s="67"/>
      <c r="N104" s="67"/>
      <c r="O104" s="67"/>
      <c r="P104" s="67"/>
      <c r="Q104" s="67"/>
      <c r="R104" s="67"/>
      <c r="S104" s="67"/>
      <c r="T104" s="67"/>
    </row>
    <row r="105" spans="2:20" ht="14.25">
      <c r="B105" s="67"/>
      <c r="C105" s="67"/>
      <c r="D105" s="67"/>
      <c r="E105" s="67"/>
      <c r="F105" s="67"/>
      <c r="G105" s="67"/>
      <c r="H105" s="67"/>
      <c r="I105" s="67"/>
      <c r="J105" s="67"/>
      <c r="K105" s="67"/>
      <c r="L105" s="67"/>
      <c r="M105" s="67"/>
      <c r="N105" s="67"/>
      <c r="O105" s="67"/>
      <c r="P105" s="67"/>
      <c r="Q105" s="67"/>
      <c r="R105" s="67"/>
      <c r="S105" s="67"/>
      <c r="T105" s="67"/>
    </row>
    <row r="106" spans="2:20" ht="14.25">
      <c r="B106" s="67"/>
      <c r="C106" s="67"/>
      <c r="D106" s="67"/>
      <c r="E106" s="67"/>
      <c r="F106" s="67"/>
      <c r="G106" s="67"/>
      <c r="H106" s="67"/>
      <c r="I106" s="67"/>
      <c r="J106" s="67"/>
      <c r="K106" s="67"/>
      <c r="L106" s="67"/>
      <c r="M106" s="67"/>
      <c r="N106" s="67"/>
      <c r="O106" s="67"/>
      <c r="P106" s="67"/>
      <c r="Q106" s="67"/>
      <c r="R106" s="67"/>
      <c r="S106" s="67"/>
      <c r="T106" s="67"/>
    </row>
    <row r="107" spans="2:20" ht="14.25">
      <c r="B107" s="67"/>
      <c r="C107" s="67"/>
      <c r="D107" s="67"/>
      <c r="E107" s="67"/>
      <c r="F107" s="67"/>
      <c r="G107" s="67"/>
      <c r="H107" s="67"/>
      <c r="I107" s="67"/>
      <c r="J107" s="67"/>
      <c r="K107" s="67"/>
      <c r="L107" s="67"/>
      <c r="M107" s="67"/>
      <c r="N107" s="67"/>
      <c r="O107" s="67"/>
      <c r="P107" s="67"/>
      <c r="Q107" s="67"/>
      <c r="R107" s="67"/>
      <c r="S107" s="67"/>
      <c r="T107" s="67"/>
    </row>
    <row r="108" spans="2:20" ht="14.25">
      <c r="B108" s="67"/>
      <c r="C108" s="67"/>
      <c r="D108" s="67"/>
      <c r="E108" s="67"/>
      <c r="F108" s="67"/>
      <c r="G108" s="67"/>
      <c r="H108" s="67"/>
      <c r="I108" s="67"/>
      <c r="J108" s="67"/>
      <c r="K108" s="67"/>
      <c r="L108" s="67"/>
      <c r="M108" s="67"/>
      <c r="N108" s="67"/>
      <c r="O108" s="67"/>
      <c r="P108" s="67"/>
      <c r="Q108" s="67"/>
      <c r="R108" s="67"/>
      <c r="S108" s="67"/>
      <c r="T108" s="67"/>
    </row>
    <row r="109" spans="2:20" ht="14.25">
      <c r="B109" s="67"/>
      <c r="C109" s="67"/>
      <c r="D109" s="67"/>
      <c r="E109" s="67"/>
      <c r="F109" s="67"/>
      <c r="G109" s="67"/>
      <c r="H109" s="67"/>
      <c r="I109" s="67"/>
      <c r="J109" s="67"/>
      <c r="K109" s="67"/>
      <c r="L109" s="67"/>
      <c r="M109" s="67"/>
      <c r="N109" s="67"/>
      <c r="O109" s="67"/>
      <c r="P109" s="67"/>
      <c r="Q109" s="67"/>
      <c r="R109" s="67"/>
      <c r="S109" s="67"/>
      <c r="T109" s="67"/>
    </row>
    <row r="110" spans="2:20" ht="14.25">
      <c r="B110" s="67"/>
      <c r="C110" s="67"/>
      <c r="D110" s="67"/>
      <c r="E110" s="67"/>
      <c r="F110" s="67"/>
      <c r="G110" s="67"/>
      <c r="H110" s="67"/>
      <c r="I110" s="67"/>
      <c r="J110" s="67"/>
      <c r="K110" s="67"/>
      <c r="L110" s="67"/>
      <c r="M110" s="67"/>
      <c r="N110" s="67"/>
      <c r="O110" s="67"/>
      <c r="P110" s="67"/>
      <c r="Q110" s="67"/>
      <c r="R110" s="67"/>
      <c r="S110" s="67"/>
      <c r="T110" s="67"/>
    </row>
    <row r="111" spans="11:31" ht="14.25">
      <c r="K111" s="67"/>
      <c r="L111" s="67"/>
      <c r="M111" s="67"/>
      <c r="N111" s="67"/>
      <c r="O111" s="67"/>
      <c r="P111" s="67"/>
      <c r="Q111" s="67"/>
      <c r="R111" s="67"/>
      <c r="S111" s="67"/>
      <c r="T111" s="67"/>
      <c r="U111" s="67"/>
      <c r="V111" s="67"/>
      <c r="W111" s="67"/>
      <c r="X111" s="67"/>
      <c r="Y111" s="67"/>
      <c r="Z111" s="67"/>
      <c r="AA111" s="67"/>
      <c r="AB111" s="67"/>
      <c r="AC111" s="67"/>
      <c r="AD111" s="67"/>
      <c r="AE111" s="67"/>
    </row>
    <row r="112" spans="11:31" ht="14.25">
      <c r="K112" s="67"/>
      <c r="L112" s="67"/>
      <c r="M112" s="67"/>
      <c r="N112" s="67"/>
      <c r="O112" s="67"/>
      <c r="P112" s="67"/>
      <c r="Q112" s="67"/>
      <c r="R112" s="67"/>
      <c r="S112" s="67"/>
      <c r="T112" s="67"/>
      <c r="U112" s="67"/>
      <c r="V112" s="67"/>
      <c r="W112" s="67"/>
      <c r="X112" s="67"/>
      <c r="Y112" s="67"/>
      <c r="Z112" s="67"/>
      <c r="AA112" s="67"/>
      <c r="AB112" s="67"/>
      <c r="AC112" s="67"/>
      <c r="AD112" s="67"/>
      <c r="AE112" s="67"/>
    </row>
    <row r="113" spans="11:31" ht="14.25">
      <c r="K113" s="67"/>
      <c r="L113" s="67"/>
      <c r="M113" s="67"/>
      <c r="N113" s="67"/>
      <c r="O113" s="67"/>
      <c r="P113" s="67"/>
      <c r="Q113" s="67"/>
      <c r="R113" s="67"/>
      <c r="S113" s="67"/>
      <c r="T113" s="67"/>
      <c r="U113" s="67"/>
      <c r="V113" s="67"/>
      <c r="W113" s="67"/>
      <c r="X113" s="67"/>
      <c r="Y113" s="67"/>
      <c r="Z113" s="67"/>
      <c r="AA113" s="67"/>
      <c r="AB113" s="67"/>
      <c r="AC113" s="67"/>
      <c r="AD113" s="67"/>
      <c r="AE113" s="67"/>
    </row>
    <row r="114" spans="11:31" ht="14.25">
      <c r="K114" s="67"/>
      <c r="L114" s="67"/>
      <c r="M114" s="67"/>
      <c r="N114" s="67"/>
      <c r="O114" s="67"/>
      <c r="P114" s="67"/>
      <c r="Q114" s="67"/>
      <c r="R114" s="67"/>
      <c r="S114" s="67"/>
      <c r="T114" s="67"/>
      <c r="U114" s="67"/>
      <c r="V114" s="67"/>
      <c r="W114" s="67"/>
      <c r="X114" s="67"/>
      <c r="Y114" s="67"/>
      <c r="Z114" s="67"/>
      <c r="AA114" s="67"/>
      <c r="AB114" s="67"/>
      <c r="AC114" s="67"/>
      <c r="AD114" s="67"/>
      <c r="AE114" s="67"/>
    </row>
    <row r="115" spans="11:31" ht="14.25">
      <c r="K115" s="67"/>
      <c r="L115" s="67"/>
      <c r="M115" s="67"/>
      <c r="N115" s="67"/>
      <c r="O115" s="67"/>
      <c r="P115" s="67"/>
      <c r="Q115" s="67"/>
      <c r="R115" s="67"/>
      <c r="S115" s="67"/>
      <c r="T115" s="67"/>
      <c r="U115" s="67"/>
      <c r="V115" s="67"/>
      <c r="W115" s="67"/>
      <c r="X115" s="67"/>
      <c r="Y115" s="67"/>
      <c r="Z115" s="67"/>
      <c r="AA115" s="67"/>
      <c r="AB115" s="67"/>
      <c r="AC115" s="67"/>
      <c r="AD115" s="67"/>
      <c r="AE115" s="67"/>
    </row>
    <row r="116" spans="11:31" ht="14.25">
      <c r="K116" s="67"/>
      <c r="L116" s="67"/>
      <c r="M116" s="67"/>
      <c r="N116" s="67"/>
      <c r="O116" s="67"/>
      <c r="P116" s="67"/>
      <c r="Q116" s="67"/>
      <c r="R116" s="67"/>
      <c r="S116" s="67"/>
      <c r="T116" s="67"/>
      <c r="U116" s="67"/>
      <c r="V116" s="67"/>
      <c r="W116" s="67"/>
      <c r="X116" s="67"/>
      <c r="Y116" s="67"/>
      <c r="Z116" s="67"/>
      <c r="AA116" s="67"/>
      <c r="AB116" s="67"/>
      <c r="AC116" s="67"/>
      <c r="AD116" s="67"/>
      <c r="AE116" s="67"/>
    </row>
    <row r="117" spans="11:31" ht="14.25">
      <c r="K117" s="67"/>
      <c r="L117" s="67"/>
      <c r="M117" s="67"/>
      <c r="N117" s="67"/>
      <c r="O117" s="67"/>
      <c r="P117" s="67"/>
      <c r="Q117" s="67"/>
      <c r="R117" s="67"/>
      <c r="S117" s="67"/>
      <c r="T117" s="67"/>
      <c r="U117" s="67"/>
      <c r="V117" s="67"/>
      <c r="W117" s="67"/>
      <c r="X117" s="67"/>
      <c r="Y117" s="67"/>
      <c r="Z117" s="67"/>
      <c r="AA117" s="67"/>
      <c r="AB117" s="67"/>
      <c r="AC117" s="67"/>
      <c r="AD117" s="67"/>
      <c r="AE117" s="67"/>
    </row>
    <row r="118" spans="11:31" ht="14.25">
      <c r="K118" s="67"/>
      <c r="L118" s="67"/>
      <c r="M118" s="67"/>
      <c r="N118" s="67"/>
      <c r="O118" s="67"/>
      <c r="P118" s="67"/>
      <c r="Q118" s="67"/>
      <c r="R118" s="67"/>
      <c r="S118" s="67"/>
      <c r="T118" s="67"/>
      <c r="U118" s="67"/>
      <c r="V118" s="67"/>
      <c r="W118" s="67"/>
      <c r="X118" s="67"/>
      <c r="Y118" s="67"/>
      <c r="Z118" s="67"/>
      <c r="AA118" s="67"/>
      <c r="AB118" s="67"/>
      <c r="AC118" s="67"/>
      <c r="AD118" s="67"/>
      <c r="AE118" s="67"/>
    </row>
    <row r="119" spans="11:31" ht="14.25">
      <c r="K119" s="67"/>
      <c r="L119" s="67"/>
      <c r="M119" s="67"/>
      <c r="N119" s="67"/>
      <c r="O119" s="67"/>
      <c r="P119" s="67"/>
      <c r="Q119" s="67"/>
      <c r="R119" s="67"/>
      <c r="S119" s="67"/>
      <c r="T119" s="67"/>
      <c r="U119" s="67"/>
      <c r="V119" s="67"/>
      <c r="W119" s="67"/>
      <c r="X119" s="67"/>
      <c r="Y119" s="67"/>
      <c r="Z119" s="67"/>
      <c r="AA119" s="67"/>
      <c r="AB119" s="67"/>
      <c r="AC119" s="67"/>
      <c r="AD119" s="67"/>
      <c r="AE119" s="67"/>
    </row>
    <row r="120" spans="11:31" ht="14.25">
      <c r="K120" s="67"/>
      <c r="L120" s="67"/>
      <c r="M120" s="67"/>
      <c r="N120" s="67"/>
      <c r="O120" s="67"/>
      <c r="P120" s="67"/>
      <c r="Q120" s="67"/>
      <c r="R120" s="67"/>
      <c r="S120" s="67"/>
      <c r="T120" s="67"/>
      <c r="U120" s="67"/>
      <c r="V120" s="67"/>
      <c r="W120" s="67"/>
      <c r="X120" s="67"/>
      <c r="Y120" s="67"/>
      <c r="Z120" s="67"/>
      <c r="AA120" s="67"/>
      <c r="AB120" s="67"/>
      <c r="AC120" s="67"/>
      <c r="AD120" s="67"/>
      <c r="AE120" s="67"/>
    </row>
    <row r="121" spans="11:31" ht="14.25">
      <c r="K121" s="67"/>
      <c r="L121" s="67"/>
      <c r="M121" s="67"/>
      <c r="N121" s="67"/>
      <c r="O121" s="67"/>
      <c r="P121" s="67"/>
      <c r="Q121" s="67"/>
      <c r="R121" s="67"/>
      <c r="S121" s="67"/>
      <c r="T121" s="67"/>
      <c r="U121" s="67"/>
      <c r="V121" s="67"/>
      <c r="W121" s="67"/>
      <c r="X121" s="67"/>
      <c r="Y121" s="67"/>
      <c r="Z121" s="67"/>
      <c r="AA121" s="67"/>
      <c r="AB121" s="67"/>
      <c r="AC121" s="67"/>
      <c r="AD121" s="67"/>
      <c r="AE121" s="67"/>
    </row>
    <row r="122" spans="11:31" ht="14.25">
      <c r="K122" s="67"/>
      <c r="L122" s="67"/>
      <c r="M122" s="67"/>
      <c r="N122" s="67"/>
      <c r="O122" s="67"/>
      <c r="P122" s="67"/>
      <c r="Q122" s="67"/>
      <c r="R122" s="67"/>
      <c r="S122" s="67"/>
      <c r="T122" s="67"/>
      <c r="U122" s="67"/>
      <c r="V122" s="67"/>
      <c r="W122" s="67"/>
      <c r="X122" s="67"/>
      <c r="Y122" s="67"/>
      <c r="Z122" s="67"/>
      <c r="AA122" s="67"/>
      <c r="AB122" s="67"/>
      <c r="AC122" s="67"/>
      <c r="AD122" s="67"/>
      <c r="AE122" s="67"/>
    </row>
    <row r="123" spans="11:31" ht="14.25">
      <c r="K123" s="67"/>
      <c r="L123" s="67"/>
      <c r="M123" s="67"/>
      <c r="N123" s="67"/>
      <c r="O123" s="67"/>
      <c r="P123" s="67"/>
      <c r="Q123" s="67"/>
      <c r="R123" s="67"/>
      <c r="S123" s="67"/>
      <c r="T123" s="67"/>
      <c r="U123" s="67"/>
      <c r="V123" s="67"/>
      <c r="W123" s="67"/>
      <c r="X123" s="67"/>
      <c r="Y123" s="67"/>
      <c r="Z123" s="67"/>
      <c r="AA123" s="67"/>
      <c r="AB123" s="67"/>
      <c r="AC123" s="67"/>
      <c r="AD123" s="67"/>
      <c r="AE123" s="67"/>
    </row>
    <row r="124" spans="11:31" ht="14.25">
      <c r="K124" s="67"/>
      <c r="L124" s="67"/>
      <c r="M124" s="67"/>
      <c r="N124" s="67"/>
      <c r="O124" s="67"/>
      <c r="P124" s="67"/>
      <c r="Q124" s="67"/>
      <c r="R124" s="67"/>
      <c r="S124" s="67"/>
      <c r="T124" s="67"/>
      <c r="U124" s="67"/>
      <c r="V124" s="67"/>
      <c r="W124" s="67"/>
      <c r="X124" s="67"/>
      <c r="Y124" s="67"/>
      <c r="Z124" s="67"/>
      <c r="AA124" s="67"/>
      <c r="AB124" s="67"/>
      <c r="AC124" s="67"/>
      <c r="AD124" s="67"/>
      <c r="AE124" s="67"/>
    </row>
    <row r="125" spans="11:31" ht="14.25">
      <c r="K125" s="67"/>
      <c r="L125" s="67"/>
      <c r="M125" s="67"/>
      <c r="N125" s="67"/>
      <c r="O125" s="67"/>
      <c r="P125" s="67"/>
      <c r="Q125" s="67"/>
      <c r="R125" s="67"/>
      <c r="S125" s="67"/>
      <c r="T125" s="67"/>
      <c r="U125" s="67"/>
      <c r="V125" s="67"/>
      <c r="W125" s="67"/>
      <c r="X125" s="67"/>
      <c r="Y125" s="67"/>
      <c r="Z125" s="67"/>
      <c r="AA125" s="67"/>
      <c r="AB125" s="67"/>
      <c r="AC125" s="67"/>
      <c r="AD125" s="67"/>
      <c r="AE125" s="67"/>
    </row>
    <row r="126" spans="11:31" ht="14.25">
      <c r="K126" s="67"/>
      <c r="L126" s="67"/>
      <c r="M126" s="67"/>
      <c r="N126" s="67"/>
      <c r="O126" s="67"/>
      <c r="P126" s="67"/>
      <c r="Q126" s="67"/>
      <c r="R126" s="67"/>
      <c r="S126" s="67"/>
      <c r="T126" s="67"/>
      <c r="U126" s="67"/>
      <c r="V126" s="67"/>
      <c r="W126" s="67"/>
      <c r="X126" s="67"/>
      <c r="Y126" s="67"/>
      <c r="Z126" s="67"/>
      <c r="AA126" s="67"/>
      <c r="AB126" s="67"/>
      <c r="AC126" s="67"/>
      <c r="AD126" s="67"/>
      <c r="AE126" s="67"/>
    </row>
    <row r="127" spans="11:31" ht="14.25">
      <c r="K127" s="67"/>
      <c r="L127" s="67"/>
      <c r="M127" s="67"/>
      <c r="N127" s="67"/>
      <c r="O127" s="67"/>
      <c r="P127" s="67"/>
      <c r="Q127" s="67"/>
      <c r="R127" s="67"/>
      <c r="S127" s="67"/>
      <c r="T127" s="67"/>
      <c r="U127" s="67"/>
      <c r="V127" s="67"/>
      <c r="W127" s="67"/>
      <c r="X127" s="67"/>
      <c r="Y127" s="67"/>
      <c r="Z127" s="67"/>
      <c r="AA127" s="67"/>
      <c r="AB127" s="67"/>
      <c r="AC127" s="67"/>
      <c r="AD127" s="67"/>
      <c r="AE127" s="67"/>
    </row>
    <row r="128" spans="11:31" ht="14.25">
      <c r="K128" s="67"/>
      <c r="L128" s="67"/>
      <c r="M128" s="67"/>
      <c r="N128" s="67"/>
      <c r="O128" s="67"/>
      <c r="P128" s="67"/>
      <c r="Q128" s="67"/>
      <c r="R128" s="67"/>
      <c r="S128" s="67"/>
      <c r="T128" s="67"/>
      <c r="U128" s="67"/>
      <c r="V128" s="67"/>
      <c r="W128" s="67"/>
      <c r="X128" s="67"/>
      <c r="Y128" s="67"/>
      <c r="Z128" s="67"/>
      <c r="AA128" s="67"/>
      <c r="AB128" s="67"/>
      <c r="AC128" s="67"/>
      <c r="AD128" s="67"/>
      <c r="AE128" s="67"/>
    </row>
    <row r="129" spans="11:31" ht="14.25">
      <c r="K129" s="67"/>
      <c r="L129" s="67"/>
      <c r="M129" s="67"/>
      <c r="N129" s="67"/>
      <c r="O129" s="67"/>
      <c r="P129" s="67"/>
      <c r="Q129" s="67"/>
      <c r="R129" s="67"/>
      <c r="S129" s="67"/>
      <c r="T129" s="67"/>
      <c r="U129" s="67"/>
      <c r="V129" s="67"/>
      <c r="W129" s="67"/>
      <c r="X129" s="67"/>
      <c r="Y129" s="67"/>
      <c r="Z129" s="67"/>
      <c r="AA129" s="67"/>
      <c r="AB129" s="67"/>
      <c r="AC129" s="67"/>
      <c r="AD129" s="67"/>
      <c r="AE129" s="67"/>
    </row>
    <row r="130" spans="11:31" ht="14.25">
      <c r="K130" s="67"/>
      <c r="L130" s="67"/>
      <c r="M130" s="67"/>
      <c r="N130" s="67"/>
      <c r="O130" s="67"/>
      <c r="P130" s="67"/>
      <c r="Q130" s="67"/>
      <c r="R130" s="67"/>
      <c r="S130" s="67"/>
      <c r="T130" s="67"/>
      <c r="U130" s="67"/>
      <c r="V130" s="67"/>
      <c r="W130" s="67"/>
      <c r="X130" s="67"/>
      <c r="Y130" s="67"/>
      <c r="Z130" s="67"/>
      <c r="AA130" s="67"/>
      <c r="AB130" s="67"/>
      <c r="AC130" s="67"/>
      <c r="AD130" s="67"/>
      <c r="AE130" s="67"/>
    </row>
    <row r="131" spans="11:31" ht="14.25">
      <c r="K131" s="67"/>
      <c r="L131" s="67"/>
      <c r="M131" s="67"/>
      <c r="N131" s="67"/>
      <c r="O131" s="67"/>
      <c r="P131" s="67"/>
      <c r="Q131" s="67"/>
      <c r="R131" s="67"/>
      <c r="S131" s="67"/>
      <c r="T131" s="67"/>
      <c r="U131" s="67"/>
      <c r="V131" s="67"/>
      <c r="W131" s="67"/>
      <c r="X131" s="67"/>
      <c r="Y131" s="67"/>
      <c r="Z131" s="67"/>
      <c r="AA131" s="67"/>
      <c r="AB131" s="67"/>
      <c r="AC131" s="67"/>
      <c r="AD131" s="67"/>
      <c r="AE131" s="67"/>
    </row>
    <row r="132" spans="11:31" ht="14.25">
      <c r="K132" s="67"/>
      <c r="L132" s="67"/>
      <c r="M132" s="67"/>
      <c r="N132" s="67"/>
      <c r="O132" s="67"/>
      <c r="P132" s="67"/>
      <c r="Q132" s="67"/>
      <c r="R132" s="67"/>
      <c r="S132" s="67"/>
      <c r="T132" s="67"/>
      <c r="U132" s="67"/>
      <c r="V132" s="67"/>
      <c r="W132" s="67"/>
      <c r="X132" s="67"/>
      <c r="Y132" s="67"/>
      <c r="Z132" s="67"/>
      <c r="AA132" s="67"/>
      <c r="AB132" s="67"/>
      <c r="AC132" s="67"/>
      <c r="AD132" s="67"/>
      <c r="AE132" s="67"/>
    </row>
    <row r="133" spans="11:31" ht="14.25">
      <c r="K133" s="67"/>
      <c r="L133" s="67"/>
      <c r="M133" s="67"/>
      <c r="N133" s="67"/>
      <c r="O133" s="67"/>
      <c r="P133" s="67"/>
      <c r="Q133" s="67"/>
      <c r="R133" s="67"/>
      <c r="S133" s="67"/>
      <c r="T133" s="67"/>
      <c r="U133" s="67"/>
      <c r="V133" s="67"/>
      <c r="W133" s="67"/>
      <c r="X133" s="67"/>
      <c r="Y133" s="67"/>
      <c r="Z133" s="67"/>
      <c r="AA133" s="67"/>
      <c r="AB133" s="67"/>
      <c r="AC133" s="67"/>
      <c r="AD133" s="67"/>
      <c r="AE133" s="67"/>
    </row>
    <row r="134" spans="11:31" ht="14.25">
      <c r="K134" s="67"/>
      <c r="L134" s="67"/>
      <c r="M134" s="67"/>
      <c r="N134" s="67"/>
      <c r="O134" s="67"/>
      <c r="P134" s="67"/>
      <c r="Q134" s="67"/>
      <c r="R134" s="67"/>
      <c r="S134" s="67"/>
      <c r="T134" s="67"/>
      <c r="U134" s="67"/>
      <c r="V134" s="67"/>
      <c r="W134" s="67"/>
      <c r="X134" s="67"/>
      <c r="Y134" s="67"/>
      <c r="Z134" s="67"/>
      <c r="AA134" s="67"/>
      <c r="AB134" s="67"/>
      <c r="AC134" s="67"/>
      <c r="AD134" s="67"/>
      <c r="AE134" s="67"/>
    </row>
    <row r="135" spans="11:31" ht="14.25">
      <c r="K135" s="67"/>
      <c r="L135" s="67"/>
      <c r="M135" s="67"/>
      <c r="N135" s="67"/>
      <c r="O135" s="67"/>
      <c r="P135" s="67"/>
      <c r="Q135" s="67"/>
      <c r="R135" s="67"/>
      <c r="S135" s="67"/>
      <c r="T135" s="67"/>
      <c r="U135" s="67"/>
      <c r="V135" s="67"/>
      <c r="W135" s="67"/>
      <c r="X135" s="67"/>
      <c r="Y135" s="67"/>
      <c r="Z135" s="67"/>
      <c r="AA135" s="67"/>
      <c r="AB135" s="67"/>
      <c r="AC135" s="67"/>
      <c r="AD135" s="67"/>
      <c r="AE135" s="67"/>
    </row>
    <row r="136" spans="11:31" ht="14.25">
      <c r="K136" s="67"/>
      <c r="L136" s="67"/>
      <c r="M136" s="67"/>
      <c r="N136" s="67"/>
      <c r="O136" s="67"/>
      <c r="P136" s="67"/>
      <c r="Q136" s="67"/>
      <c r="R136" s="67"/>
      <c r="S136" s="67"/>
      <c r="T136" s="67"/>
      <c r="U136" s="67"/>
      <c r="V136" s="67"/>
      <c r="W136" s="67"/>
      <c r="X136" s="67"/>
      <c r="Y136" s="67"/>
      <c r="Z136" s="67"/>
      <c r="AA136" s="67"/>
      <c r="AB136" s="67"/>
      <c r="AC136" s="67"/>
      <c r="AD136" s="67"/>
      <c r="AE136" s="67"/>
    </row>
    <row r="137" spans="11:31" ht="14.25">
      <c r="K137" s="67"/>
      <c r="L137" s="67"/>
      <c r="M137" s="67"/>
      <c r="N137" s="67"/>
      <c r="O137" s="67"/>
      <c r="P137" s="67"/>
      <c r="Q137" s="67"/>
      <c r="R137" s="67"/>
      <c r="S137" s="67"/>
      <c r="T137" s="67"/>
      <c r="U137" s="67"/>
      <c r="V137" s="67"/>
      <c r="W137" s="67"/>
      <c r="X137" s="67"/>
      <c r="Y137" s="67"/>
      <c r="Z137" s="67"/>
      <c r="AA137" s="67"/>
      <c r="AB137" s="67"/>
      <c r="AC137" s="67"/>
      <c r="AD137" s="67"/>
      <c r="AE137" s="67"/>
    </row>
    <row r="138" spans="11:31" ht="14.25">
      <c r="K138" s="67"/>
      <c r="L138" s="67"/>
      <c r="M138" s="67"/>
      <c r="N138" s="67"/>
      <c r="O138" s="67"/>
      <c r="P138" s="67"/>
      <c r="Q138" s="67"/>
      <c r="R138" s="67"/>
      <c r="S138" s="67"/>
      <c r="T138" s="67"/>
      <c r="U138" s="67"/>
      <c r="V138" s="67"/>
      <c r="W138" s="67"/>
      <c r="X138" s="67"/>
      <c r="Y138" s="67"/>
      <c r="Z138" s="67"/>
      <c r="AA138" s="67"/>
      <c r="AB138" s="67"/>
      <c r="AC138" s="67"/>
      <c r="AD138" s="67"/>
      <c r="AE138" s="67"/>
    </row>
    <row r="139" spans="11:31" ht="14.25">
      <c r="K139" s="67"/>
      <c r="L139" s="67"/>
      <c r="M139" s="67"/>
      <c r="N139" s="67"/>
      <c r="O139" s="67"/>
      <c r="P139" s="67"/>
      <c r="Q139" s="67"/>
      <c r="R139" s="67"/>
      <c r="S139" s="67"/>
      <c r="T139" s="67"/>
      <c r="U139" s="67"/>
      <c r="V139" s="67"/>
      <c r="W139" s="67"/>
      <c r="X139" s="67"/>
      <c r="Y139" s="67"/>
      <c r="Z139" s="67"/>
      <c r="AA139" s="67"/>
      <c r="AB139" s="67"/>
      <c r="AC139" s="67"/>
      <c r="AD139" s="67"/>
      <c r="AE139" s="67"/>
    </row>
    <row r="140" spans="11:31" ht="14.25">
      <c r="K140" s="67"/>
      <c r="L140" s="67"/>
      <c r="M140" s="67"/>
      <c r="N140" s="67"/>
      <c r="O140" s="67"/>
      <c r="P140" s="67"/>
      <c r="Q140" s="67"/>
      <c r="R140" s="67"/>
      <c r="S140" s="67"/>
      <c r="T140" s="67"/>
      <c r="U140" s="67"/>
      <c r="V140" s="67"/>
      <c r="W140" s="67"/>
      <c r="X140" s="67"/>
      <c r="Y140" s="67"/>
      <c r="Z140" s="67"/>
      <c r="AA140" s="67"/>
      <c r="AB140" s="67"/>
      <c r="AC140" s="67"/>
      <c r="AD140" s="67"/>
      <c r="AE140" s="67"/>
    </row>
    <row r="141" spans="11:31" ht="14.25">
      <c r="K141" s="67"/>
      <c r="L141" s="67"/>
      <c r="M141" s="67"/>
      <c r="N141" s="67"/>
      <c r="O141" s="67"/>
      <c r="P141" s="67"/>
      <c r="Q141" s="67"/>
      <c r="R141" s="67"/>
      <c r="S141" s="67"/>
      <c r="T141" s="67"/>
      <c r="U141" s="67"/>
      <c r="V141" s="67"/>
      <c r="W141" s="67"/>
      <c r="X141" s="67"/>
      <c r="Y141" s="67"/>
      <c r="Z141" s="67"/>
      <c r="AA141" s="67"/>
      <c r="AB141" s="67"/>
      <c r="AC141" s="67"/>
      <c r="AD141" s="67"/>
      <c r="AE141" s="67"/>
    </row>
    <row r="142" spans="11:31" ht="14.25">
      <c r="K142" s="67"/>
      <c r="L142" s="67"/>
      <c r="M142" s="67"/>
      <c r="N142" s="67"/>
      <c r="O142" s="67"/>
      <c r="P142" s="67"/>
      <c r="Q142" s="67"/>
      <c r="R142" s="67"/>
      <c r="S142" s="67"/>
      <c r="T142" s="67"/>
      <c r="U142" s="67"/>
      <c r="V142" s="67"/>
      <c r="W142" s="67"/>
      <c r="X142" s="67"/>
      <c r="Y142" s="67"/>
      <c r="Z142" s="67"/>
      <c r="AA142" s="67"/>
      <c r="AB142" s="67"/>
      <c r="AC142" s="67"/>
      <c r="AD142" s="67"/>
      <c r="AE142" s="67"/>
    </row>
    <row r="143" spans="11:31" ht="14.25">
      <c r="K143" s="67"/>
      <c r="L143" s="67"/>
      <c r="M143" s="67"/>
      <c r="N143" s="67"/>
      <c r="O143" s="67"/>
      <c r="P143" s="67"/>
      <c r="Q143" s="67"/>
      <c r="R143" s="67"/>
      <c r="S143" s="67"/>
      <c r="T143" s="67"/>
      <c r="U143" s="67"/>
      <c r="V143" s="67"/>
      <c r="W143" s="67"/>
      <c r="X143" s="67"/>
      <c r="Y143" s="67"/>
      <c r="Z143" s="67"/>
      <c r="AA143" s="67"/>
      <c r="AB143" s="67"/>
      <c r="AC143" s="67"/>
      <c r="AD143" s="67"/>
      <c r="AE143" s="67"/>
    </row>
    <row r="144" spans="11:31" ht="14.25">
      <c r="K144" s="67"/>
      <c r="L144" s="67"/>
      <c r="M144" s="67"/>
      <c r="N144" s="67"/>
      <c r="O144" s="67"/>
      <c r="P144" s="67"/>
      <c r="Q144" s="67"/>
      <c r="R144" s="67"/>
      <c r="S144" s="67"/>
      <c r="T144" s="67"/>
      <c r="U144" s="67"/>
      <c r="V144" s="67"/>
      <c r="W144" s="67"/>
      <c r="X144" s="67"/>
      <c r="Y144" s="67"/>
      <c r="Z144" s="67"/>
      <c r="AA144" s="67"/>
      <c r="AB144" s="67"/>
      <c r="AC144" s="67"/>
      <c r="AD144" s="67"/>
      <c r="AE144" s="67"/>
    </row>
    <row r="145" spans="11:31" ht="14.25">
      <c r="K145" s="67"/>
      <c r="L145" s="67"/>
      <c r="M145" s="67"/>
      <c r="N145" s="67"/>
      <c r="O145" s="67"/>
      <c r="P145" s="67"/>
      <c r="Q145" s="67"/>
      <c r="R145" s="67"/>
      <c r="S145" s="67"/>
      <c r="T145" s="67"/>
      <c r="U145" s="67"/>
      <c r="V145" s="67"/>
      <c r="W145" s="67"/>
      <c r="X145" s="67"/>
      <c r="Y145" s="67"/>
      <c r="Z145" s="67"/>
      <c r="AA145" s="67"/>
      <c r="AB145" s="67"/>
      <c r="AC145" s="67"/>
      <c r="AD145" s="67"/>
      <c r="AE145" s="67"/>
    </row>
    <row r="146" spans="11:31" ht="14.25">
      <c r="K146" s="67"/>
      <c r="L146" s="67"/>
      <c r="M146" s="67"/>
      <c r="N146" s="67"/>
      <c r="O146" s="67"/>
      <c r="P146" s="67"/>
      <c r="Q146" s="67"/>
      <c r="R146" s="67"/>
      <c r="S146" s="67"/>
      <c r="T146" s="67"/>
      <c r="U146" s="67"/>
      <c r="V146" s="67"/>
      <c r="W146" s="67"/>
      <c r="X146" s="67"/>
      <c r="Y146" s="67"/>
      <c r="Z146" s="67"/>
      <c r="AA146" s="67"/>
      <c r="AB146" s="67"/>
      <c r="AC146" s="67"/>
      <c r="AD146" s="67"/>
      <c r="AE146" s="67"/>
    </row>
    <row r="147" spans="11:31" ht="14.25">
      <c r="K147" s="67"/>
      <c r="L147" s="67"/>
      <c r="M147" s="67"/>
      <c r="N147" s="67"/>
      <c r="O147" s="67"/>
      <c r="P147" s="67"/>
      <c r="Q147" s="67"/>
      <c r="R147" s="67"/>
      <c r="S147" s="67"/>
      <c r="T147" s="67"/>
      <c r="U147" s="67"/>
      <c r="V147" s="67"/>
      <c r="W147" s="67"/>
      <c r="X147" s="67"/>
      <c r="Y147" s="67"/>
      <c r="Z147" s="67"/>
      <c r="AA147" s="67"/>
      <c r="AB147" s="67"/>
      <c r="AC147" s="67"/>
      <c r="AD147" s="67"/>
      <c r="AE147" s="67"/>
    </row>
    <row r="148" spans="11:31" ht="14.25">
      <c r="K148" s="67"/>
      <c r="L148" s="67"/>
      <c r="M148" s="67"/>
      <c r="N148" s="67"/>
      <c r="O148" s="67"/>
      <c r="P148" s="67"/>
      <c r="Q148" s="67"/>
      <c r="R148" s="67"/>
      <c r="S148" s="67"/>
      <c r="T148" s="67"/>
      <c r="U148" s="67"/>
      <c r="V148" s="67"/>
      <c r="W148" s="67"/>
      <c r="X148" s="67"/>
      <c r="Y148" s="67"/>
      <c r="Z148" s="67"/>
      <c r="AA148" s="67"/>
      <c r="AB148" s="67"/>
      <c r="AC148" s="67"/>
      <c r="AD148" s="67"/>
      <c r="AE148" s="67"/>
    </row>
    <row r="149" spans="11:31" ht="14.25">
      <c r="K149" s="67"/>
      <c r="L149" s="67"/>
      <c r="M149" s="67"/>
      <c r="N149" s="67"/>
      <c r="O149" s="67"/>
      <c r="P149" s="67"/>
      <c r="Q149" s="67"/>
      <c r="R149" s="67"/>
      <c r="S149" s="67"/>
      <c r="T149" s="67"/>
      <c r="U149" s="67"/>
      <c r="V149" s="67"/>
      <c r="W149" s="67"/>
      <c r="X149" s="67"/>
      <c r="Y149" s="67"/>
      <c r="Z149" s="67"/>
      <c r="AA149" s="67"/>
      <c r="AB149" s="67"/>
      <c r="AC149" s="67"/>
      <c r="AD149" s="67"/>
      <c r="AE149" s="67"/>
    </row>
    <row r="150" spans="11:31" ht="14.25">
      <c r="K150" s="67"/>
      <c r="L150" s="67"/>
      <c r="M150" s="67"/>
      <c r="N150" s="67"/>
      <c r="O150" s="67"/>
      <c r="P150" s="67"/>
      <c r="Q150" s="67"/>
      <c r="R150" s="67"/>
      <c r="S150" s="67"/>
      <c r="T150" s="67"/>
      <c r="U150" s="67"/>
      <c r="V150" s="67"/>
      <c r="W150" s="67"/>
      <c r="X150" s="67"/>
      <c r="Y150" s="67"/>
      <c r="Z150" s="67"/>
      <c r="AA150" s="67"/>
      <c r="AB150" s="67"/>
      <c r="AC150" s="67"/>
      <c r="AD150" s="67"/>
      <c r="AE150" s="67"/>
    </row>
    <row r="151" spans="11:31" ht="14.25">
      <c r="K151" s="67"/>
      <c r="L151" s="67"/>
      <c r="M151" s="67"/>
      <c r="N151" s="67"/>
      <c r="O151" s="67"/>
      <c r="P151" s="67"/>
      <c r="Q151" s="67"/>
      <c r="R151" s="67"/>
      <c r="S151" s="67"/>
      <c r="T151" s="67"/>
      <c r="U151" s="67"/>
      <c r="V151" s="67"/>
      <c r="W151" s="67"/>
      <c r="X151" s="67"/>
      <c r="Y151" s="67"/>
      <c r="Z151" s="67"/>
      <c r="AA151" s="67"/>
      <c r="AB151" s="67"/>
      <c r="AC151" s="67"/>
      <c r="AD151" s="67"/>
      <c r="AE151" s="67"/>
    </row>
    <row r="152" spans="11:31" ht="14.25">
      <c r="K152" s="67"/>
      <c r="L152" s="67"/>
      <c r="M152" s="67"/>
      <c r="N152" s="67"/>
      <c r="O152" s="67"/>
      <c r="P152" s="67"/>
      <c r="Q152" s="67"/>
      <c r="R152" s="67"/>
      <c r="S152" s="67"/>
      <c r="T152" s="67"/>
      <c r="U152" s="67"/>
      <c r="V152" s="67"/>
      <c r="W152" s="67"/>
      <c r="X152" s="67"/>
      <c r="Y152" s="67"/>
      <c r="Z152" s="67"/>
      <c r="AA152" s="67"/>
      <c r="AB152" s="67"/>
      <c r="AC152" s="67"/>
      <c r="AD152" s="67"/>
      <c r="AE152" s="67"/>
    </row>
    <row r="153" spans="11:31" ht="14.25">
      <c r="K153" s="67"/>
      <c r="L153" s="67"/>
      <c r="M153" s="67"/>
      <c r="N153" s="67"/>
      <c r="O153" s="67"/>
      <c r="P153" s="67"/>
      <c r="Q153" s="67"/>
      <c r="R153" s="67"/>
      <c r="S153" s="67"/>
      <c r="T153" s="67"/>
      <c r="U153" s="67"/>
      <c r="V153" s="67"/>
      <c r="W153" s="67"/>
      <c r="X153" s="67"/>
      <c r="Y153" s="67"/>
      <c r="Z153" s="67"/>
      <c r="AA153" s="67"/>
      <c r="AB153" s="67"/>
      <c r="AC153" s="67"/>
      <c r="AD153" s="67"/>
      <c r="AE153" s="67"/>
    </row>
    <row r="154" spans="11:31" ht="14.25">
      <c r="K154" s="67"/>
      <c r="L154" s="67"/>
      <c r="M154" s="67"/>
      <c r="N154" s="67"/>
      <c r="O154" s="67"/>
      <c r="P154" s="67"/>
      <c r="Q154" s="67"/>
      <c r="R154" s="67"/>
      <c r="S154" s="67"/>
      <c r="T154" s="67"/>
      <c r="U154" s="67"/>
      <c r="V154" s="67"/>
      <c r="W154" s="67"/>
      <c r="X154" s="67"/>
      <c r="Y154" s="67"/>
      <c r="Z154" s="67"/>
      <c r="AA154" s="67"/>
      <c r="AB154" s="67"/>
      <c r="AC154" s="67"/>
      <c r="AD154" s="67"/>
      <c r="AE154" s="67"/>
    </row>
    <row r="155" spans="11:31" ht="14.25">
      <c r="K155" s="67"/>
      <c r="L155" s="67"/>
      <c r="M155" s="67"/>
      <c r="N155" s="67"/>
      <c r="O155" s="67"/>
      <c r="P155" s="67"/>
      <c r="Q155" s="67"/>
      <c r="R155" s="67"/>
      <c r="S155" s="67"/>
      <c r="T155" s="67"/>
      <c r="U155" s="67"/>
      <c r="V155" s="67"/>
      <c r="W155" s="67"/>
      <c r="X155" s="67"/>
      <c r="Y155" s="67"/>
      <c r="Z155" s="67"/>
      <c r="AA155" s="67"/>
      <c r="AB155" s="67"/>
      <c r="AC155" s="67"/>
      <c r="AD155" s="67"/>
      <c r="AE155" s="67"/>
    </row>
    <row r="156" spans="11:31" ht="14.25">
      <c r="K156" s="67"/>
      <c r="L156" s="67"/>
      <c r="M156" s="67"/>
      <c r="N156" s="67"/>
      <c r="O156" s="67"/>
      <c r="P156" s="67"/>
      <c r="Q156" s="67"/>
      <c r="R156" s="67"/>
      <c r="S156" s="67"/>
      <c r="T156" s="67"/>
      <c r="U156" s="67"/>
      <c r="V156" s="67"/>
      <c r="W156" s="67"/>
      <c r="X156" s="67"/>
      <c r="Y156" s="67"/>
      <c r="Z156" s="67"/>
      <c r="AA156" s="67"/>
      <c r="AB156" s="67"/>
      <c r="AC156" s="67"/>
      <c r="AD156" s="67"/>
      <c r="AE156" s="67"/>
    </row>
    <row r="157" spans="11:31" ht="14.25">
      <c r="K157" s="67"/>
      <c r="L157" s="67"/>
      <c r="M157" s="67"/>
      <c r="N157" s="67"/>
      <c r="O157" s="67"/>
      <c r="P157" s="67"/>
      <c r="Q157" s="67"/>
      <c r="R157" s="67"/>
      <c r="S157" s="67"/>
      <c r="T157" s="67"/>
      <c r="U157" s="67"/>
      <c r="V157" s="67"/>
      <c r="W157" s="67"/>
      <c r="X157" s="67"/>
      <c r="Y157" s="67"/>
      <c r="Z157" s="67"/>
      <c r="AA157" s="67"/>
      <c r="AB157" s="67"/>
      <c r="AC157" s="67"/>
      <c r="AD157" s="67"/>
      <c r="AE157" s="67"/>
    </row>
    <row r="158" spans="11:31" ht="14.25">
      <c r="K158" s="67"/>
      <c r="L158" s="67"/>
      <c r="M158" s="67"/>
      <c r="N158" s="67"/>
      <c r="O158" s="67"/>
      <c r="P158" s="67"/>
      <c r="Q158" s="67"/>
      <c r="R158" s="67"/>
      <c r="S158" s="67"/>
      <c r="T158" s="67"/>
      <c r="U158" s="67"/>
      <c r="V158" s="67"/>
      <c r="W158" s="67"/>
      <c r="X158" s="67"/>
      <c r="Y158" s="67"/>
      <c r="Z158" s="67"/>
      <c r="AA158" s="67"/>
      <c r="AB158" s="67"/>
      <c r="AC158" s="67"/>
      <c r="AD158" s="67"/>
      <c r="AE158" s="67"/>
    </row>
    <row r="159" spans="11:31" ht="14.25">
      <c r="K159" s="67"/>
      <c r="L159" s="67"/>
      <c r="M159" s="67"/>
      <c r="N159" s="67"/>
      <c r="O159" s="67"/>
      <c r="P159" s="67"/>
      <c r="Q159" s="67"/>
      <c r="R159" s="67"/>
      <c r="S159" s="67"/>
      <c r="T159" s="67"/>
      <c r="U159" s="67"/>
      <c r="V159" s="67"/>
      <c r="W159" s="67"/>
      <c r="X159" s="67"/>
      <c r="Y159" s="67"/>
      <c r="Z159" s="67"/>
      <c r="AA159" s="67"/>
      <c r="AB159" s="67"/>
      <c r="AC159" s="67"/>
      <c r="AD159" s="67"/>
      <c r="AE159" s="67"/>
    </row>
    <row r="160" spans="11:31" ht="14.25">
      <c r="K160" s="67"/>
      <c r="L160" s="67"/>
      <c r="M160" s="67"/>
      <c r="N160" s="67"/>
      <c r="O160" s="67"/>
      <c r="P160" s="67"/>
      <c r="Q160" s="67"/>
      <c r="R160" s="67"/>
      <c r="S160" s="67"/>
      <c r="T160" s="67"/>
      <c r="U160" s="67"/>
      <c r="V160" s="67"/>
      <c r="W160" s="67"/>
      <c r="X160" s="67"/>
      <c r="Y160" s="67"/>
      <c r="Z160" s="67"/>
      <c r="AA160" s="67"/>
      <c r="AB160" s="67"/>
      <c r="AC160" s="67"/>
      <c r="AD160" s="67"/>
      <c r="AE160" s="67"/>
    </row>
    <row r="161" spans="11:31" ht="14.25">
      <c r="K161" s="67"/>
      <c r="L161" s="67"/>
      <c r="M161" s="67"/>
      <c r="N161" s="67"/>
      <c r="O161" s="67"/>
      <c r="P161" s="67"/>
      <c r="Q161" s="67"/>
      <c r="R161" s="67"/>
      <c r="S161" s="67"/>
      <c r="T161" s="67"/>
      <c r="U161" s="67"/>
      <c r="V161" s="67"/>
      <c r="W161" s="67"/>
      <c r="X161" s="67"/>
      <c r="Y161" s="67"/>
      <c r="Z161" s="67"/>
      <c r="AA161" s="67"/>
      <c r="AB161" s="67"/>
      <c r="AC161" s="67"/>
      <c r="AD161" s="67"/>
      <c r="AE161" s="67"/>
    </row>
    <row r="162" spans="11:31" ht="14.25">
      <c r="K162" s="67"/>
      <c r="L162" s="67"/>
      <c r="M162" s="67"/>
      <c r="N162" s="67"/>
      <c r="O162" s="67"/>
      <c r="P162" s="67"/>
      <c r="Q162" s="67"/>
      <c r="R162" s="67"/>
      <c r="S162" s="67"/>
      <c r="T162" s="67"/>
      <c r="U162" s="67"/>
      <c r="V162" s="67"/>
      <c r="W162" s="67"/>
      <c r="X162" s="67"/>
      <c r="Y162" s="67"/>
      <c r="Z162" s="67"/>
      <c r="AA162" s="67"/>
      <c r="AB162" s="67"/>
      <c r="AC162" s="67"/>
      <c r="AD162" s="67"/>
      <c r="AE162" s="67"/>
    </row>
    <row r="163" spans="11:31" ht="14.25">
      <c r="K163" s="67"/>
      <c r="L163" s="67"/>
      <c r="M163" s="67"/>
      <c r="N163" s="67"/>
      <c r="O163" s="67"/>
      <c r="P163" s="67"/>
      <c r="Q163" s="67"/>
      <c r="R163" s="67"/>
      <c r="S163" s="67"/>
      <c r="T163" s="67"/>
      <c r="U163" s="67"/>
      <c r="V163" s="67"/>
      <c r="W163" s="67"/>
      <c r="X163" s="67"/>
      <c r="Y163" s="67"/>
      <c r="Z163" s="67"/>
      <c r="AA163" s="67"/>
      <c r="AB163" s="67"/>
      <c r="AC163" s="67"/>
      <c r="AD163" s="67"/>
      <c r="AE163" s="67"/>
    </row>
    <row r="164" spans="11:31" ht="14.25">
      <c r="K164" s="67"/>
      <c r="L164" s="67"/>
      <c r="M164" s="67"/>
      <c r="N164" s="67"/>
      <c r="O164" s="67"/>
      <c r="P164" s="67"/>
      <c r="Q164" s="67"/>
      <c r="R164" s="67"/>
      <c r="S164" s="67"/>
      <c r="T164" s="67"/>
      <c r="U164" s="67"/>
      <c r="V164" s="67"/>
      <c r="W164" s="67"/>
      <c r="X164" s="67"/>
      <c r="Y164" s="67"/>
      <c r="Z164" s="67"/>
      <c r="AA164" s="67"/>
      <c r="AB164" s="67"/>
      <c r="AC164" s="67"/>
      <c r="AD164" s="67"/>
      <c r="AE164" s="67"/>
    </row>
    <row r="165" spans="11:31" ht="14.25">
      <c r="K165" s="67"/>
      <c r="L165" s="67"/>
      <c r="M165" s="67"/>
      <c r="N165" s="67"/>
      <c r="O165" s="67"/>
      <c r="P165" s="67"/>
      <c r="Q165" s="67"/>
      <c r="R165" s="67"/>
      <c r="S165" s="67"/>
      <c r="T165" s="67"/>
      <c r="U165" s="67"/>
      <c r="V165" s="67"/>
      <c r="W165" s="67"/>
      <c r="X165" s="67"/>
      <c r="Y165" s="67"/>
      <c r="Z165" s="67"/>
      <c r="AA165" s="67"/>
      <c r="AB165" s="67"/>
      <c r="AC165" s="67"/>
      <c r="AD165" s="67"/>
      <c r="AE165" s="67"/>
    </row>
    <row r="166" spans="11:31" ht="14.25">
      <c r="K166" s="67"/>
      <c r="L166" s="67"/>
      <c r="M166" s="67"/>
      <c r="N166" s="67"/>
      <c r="O166" s="67"/>
      <c r="P166" s="67"/>
      <c r="Q166" s="67"/>
      <c r="R166" s="67"/>
      <c r="S166" s="67"/>
      <c r="T166" s="67"/>
      <c r="U166" s="67"/>
      <c r="V166" s="67"/>
      <c r="W166" s="67"/>
      <c r="X166" s="67"/>
      <c r="Y166" s="67"/>
      <c r="Z166" s="67"/>
      <c r="AA166" s="67"/>
      <c r="AB166" s="67"/>
      <c r="AC166" s="67"/>
      <c r="AD166" s="67"/>
      <c r="AE166" s="67"/>
    </row>
    <row r="167" spans="11:31" ht="14.25">
      <c r="K167" s="67"/>
      <c r="L167" s="67"/>
      <c r="M167" s="67"/>
      <c r="N167" s="67"/>
      <c r="O167" s="67"/>
      <c r="P167" s="67"/>
      <c r="Q167" s="67"/>
      <c r="R167" s="67"/>
      <c r="S167" s="67"/>
      <c r="T167" s="67"/>
      <c r="U167" s="67"/>
      <c r="V167" s="67"/>
      <c r="W167" s="67"/>
      <c r="X167" s="67"/>
      <c r="Y167" s="67"/>
      <c r="Z167" s="67"/>
      <c r="AA167" s="67"/>
      <c r="AB167" s="67"/>
      <c r="AC167" s="67"/>
      <c r="AD167" s="67"/>
      <c r="AE167" s="67"/>
    </row>
    <row r="168" spans="11:31" ht="14.25">
      <c r="K168" s="67"/>
      <c r="L168" s="67"/>
      <c r="M168" s="67"/>
      <c r="N168" s="67"/>
      <c r="O168" s="67"/>
      <c r="P168" s="67"/>
      <c r="Q168" s="67"/>
      <c r="R168" s="67"/>
      <c r="S168" s="67"/>
      <c r="T168" s="67"/>
      <c r="U168" s="67"/>
      <c r="V168" s="67"/>
      <c r="W168" s="67"/>
      <c r="X168" s="67"/>
      <c r="Y168" s="67"/>
      <c r="Z168" s="67"/>
      <c r="AA168" s="67"/>
      <c r="AB168" s="67"/>
      <c r="AC168" s="67"/>
      <c r="AD168" s="67"/>
      <c r="AE168" s="67"/>
    </row>
    <row r="169" spans="11:31" ht="14.25">
      <c r="K169" s="67"/>
      <c r="L169" s="67"/>
      <c r="M169" s="67"/>
      <c r="N169" s="67"/>
      <c r="O169" s="67"/>
      <c r="P169" s="67"/>
      <c r="Q169" s="67"/>
      <c r="R169" s="67"/>
      <c r="S169" s="67"/>
      <c r="T169" s="67"/>
      <c r="U169" s="67"/>
      <c r="V169" s="67"/>
      <c r="W169" s="67"/>
      <c r="X169" s="67"/>
      <c r="Y169" s="67"/>
      <c r="Z169" s="67"/>
      <c r="AA169" s="67"/>
      <c r="AB169" s="67"/>
      <c r="AC169" s="67"/>
      <c r="AD169" s="67"/>
      <c r="AE169" s="67"/>
    </row>
    <row r="170" spans="11:31" ht="14.25">
      <c r="K170" s="67"/>
      <c r="L170" s="67"/>
      <c r="M170" s="67"/>
      <c r="N170" s="67"/>
      <c r="O170" s="67"/>
      <c r="P170" s="67"/>
      <c r="Q170" s="67"/>
      <c r="R170" s="67"/>
      <c r="S170" s="67"/>
      <c r="T170" s="67"/>
      <c r="U170" s="67"/>
      <c r="V170" s="67"/>
      <c r="W170" s="67"/>
      <c r="X170" s="67"/>
      <c r="Y170" s="67"/>
      <c r="Z170" s="67"/>
      <c r="AA170" s="67"/>
      <c r="AB170" s="67"/>
      <c r="AC170" s="67"/>
      <c r="AD170" s="67"/>
      <c r="AE170" s="67"/>
    </row>
    <row r="171" spans="11:31" ht="14.25">
      <c r="K171" s="67"/>
      <c r="L171" s="67"/>
      <c r="M171" s="67"/>
      <c r="N171" s="67"/>
      <c r="O171" s="67"/>
      <c r="P171" s="67"/>
      <c r="Q171" s="67"/>
      <c r="R171" s="67"/>
      <c r="S171" s="67"/>
      <c r="T171" s="67"/>
      <c r="U171" s="67"/>
      <c r="V171" s="67"/>
      <c r="W171" s="67"/>
      <c r="X171" s="67"/>
      <c r="Y171" s="67"/>
      <c r="Z171" s="67"/>
      <c r="AA171" s="67"/>
      <c r="AB171" s="67"/>
      <c r="AC171" s="67"/>
      <c r="AD171" s="67"/>
      <c r="AE171" s="67"/>
    </row>
    <row r="172" spans="11:31" ht="14.25">
      <c r="K172" s="67"/>
      <c r="L172" s="67"/>
      <c r="M172" s="67"/>
      <c r="N172" s="67"/>
      <c r="O172" s="67"/>
      <c r="P172" s="67"/>
      <c r="Q172" s="67"/>
      <c r="R172" s="67"/>
      <c r="S172" s="67"/>
      <c r="T172" s="67"/>
      <c r="U172" s="67"/>
      <c r="V172" s="67"/>
      <c r="W172" s="67"/>
      <c r="X172" s="67"/>
      <c r="Y172" s="67"/>
      <c r="Z172" s="67"/>
      <c r="AA172" s="67"/>
      <c r="AB172" s="67"/>
      <c r="AC172" s="67"/>
      <c r="AD172" s="67"/>
      <c r="AE172" s="67"/>
    </row>
    <row r="173" spans="11:31" ht="14.25">
      <c r="K173" s="67"/>
      <c r="L173" s="67"/>
      <c r="M173" s="67"/>
      <c r="N173" s="67"/>
      <c r="O173" s="67"/>
      <c r="P173" s="67"/>
      <c r="Q173" s="67"/>
      <c r="R173" s="67"/>
      <c r="S173" s="67"/>
      <c r="T173" s="67"/>
      <c r="U173" s="67"/>
      <c r="V173" s="67"/>
      <c r="W173" s="67"/>
      <c r="X173" s="67"/>
      <c r="Y173" s="67"/>
      <c r="Z173" s="67"/>
      <c r="AA173" s="67"/>
      <c r="AB173" s="67"/>
      <c r="AC173" s="67"/>
      <c r="AD173" s="67"/>
      <c r="AE173" s="67"/>
    </row>
    <row r="174" spans="11:31" ht="14.25">
      <c r="K174" s="67"/>
      <c r="L174" s="67"/>
      <c r="M174" s="67"/>
      <c r="N174" s="67"/>
      <c r="O174" s="67"/>
      <c r="P174" s="67"/>
      <c r="Q174" s="67"/>
      <c r="R174" s="67"/>
      <c r="S174" s="67"/>
      <c r="T174" s="67"/>
      <c r="U174" s="67"/>
      <c r="V174" s="67"/>
      <c r="W174" s="67"/>
      <c r="X174" s="67"/>
      <c r="Y174" s="67"/>
      <c r="Z174" s="67"/>
      <c r="AA174" s="67"/>
      <c r="AB174" s="67"/>
      <c r="AC174" s="67"/>
      <c r="AD174" s="67"/>
      <c r="AE174" s="67"/>
    </row>
    <row r="175" spans="11:31" ht="14.25">
      <c r="K175" s="67"/>
      <c r="L175" s="67"/>
      <c r="M175" s="67"/>
      <c r="N175" s="67"/>
      <c r="O175" s="67"/>
      <c r="P175" s="67"/>
      <c r="Q175" s="67"/>
      <c r="R175" s="67"/>
      <c r="S175" s="67"/>
      <c r="T175" s="67"/>
      <c r="U175" s="67"/>
      <c r="V175" s="67"/>
      <c r="W175" s="67"/>
      <c r="X175" s="67"/>
      <c r="Y175" s="67"/>
      <c r="Z175" s="67"/>
      <c r="AA175" s="67"/>
      <c r="AB175" s="67"/>
      <c r="AC175" s="67"/>
      <c r="AD175" s="67"/>
      <c r="AE175" s="67"/>
    </row>
    <row r="176" spans="11:31" ht="14.25">
      <c r="K176" s="67"/>
      <c r="L176" s="67"/>
      <c r="M176" s="67"/>
      <c r="N176" s="67"/>
      <c r="O176" s="67"/>
      <c r="P176" s="67"/>
      <c r="Q176" s="67"/>
      <c r="R176" s="67"/>
      <c r="S176" s="67"/>
      <c r="T176" s="67"/>
      <c r="U176" s="67"/>
      <c r="V176" s="67"/>
      <c r="W176" s="67"/>
      <c r="X176" s="67"/>
      <c r="Y176" s="67"/>
      <c r="Z176" s="67"/>
      <c r="AA176" s="67"/>
      <c r="AB176" s="67"/>
      <c r="AC176" s="67"/>
      <c r="AD176" s="67"/>
      <c r="AE176" s="67"/>
    </row>
    <row r="177" spans="11:31" ht="14.25">
      <c r="K177" s="67"/>
      <c r="L177" s="67"/>
      <c r="M177" s="67"/>
      <c r="N177" s="67"/>
      <c r="O177" s="67"/>
      <c r="P177" s="67"/>
      <c r="Q177" s="67"/>
      <c r="R177" s="67"/>
      <c r="S177" s="67"/>
      <c r="T177" s="67"/>
      <c r="U177" s="67"/>
      <c r="V177" s="67"/>
      <c r="W177" s="67"/>
      <c r="X177" s="67"/>
      <c r="Y177" s="67"/>
      <c r="Z177" s="67"/>
      <c r="AA177" s="67"/>
      <c r="AB177" s="67"/>
      <c r="AC177" s="67"/>
      <c r="AD177" s="67"/>
      <c r="AE177" s="67"/>
    </row>
    <row r="178" spans="11:31" ht="14.25">
      <c r="K178" s="67"/>
      <c r="L178" s="67"/>
      <c r="M178" s="67"/>
      <c r="N178" s="67"/>
      <c r="O178" s="67"/>
      <c r="P178" s="67"/>
      <c r="Q178" s="67"/>
      <c r="R178" s="67"/>
      <c r="S178" s="67"/>
      <c r="T178" s="67"/>
      <c r="U178" s="67"/>
      <c r="V178" s="67"/>
      <c r="W178" s="67"/>
      <c r="X178" s="67"/>
      <c r="Y178" s="67"/>
      <c r="Z178" s="67"/>
      <c r="AA178" s="67"/>
      <c r="AB178" s="67"/>
      <c r="AC178" s="67"/>
      <c r="AD178" s="67"/>
      <c r="AE178" s="67"/>
    </row>
    <row r="179" spans="11:31" ht="14.25">
      <c r="K179" s="67"/>
      <c r="L179" s="67"/>
      <c r="M179" s="67"/>
      <c r="N179" s="67"/>
      <c r="O179" s="67"/>
      <c r="P179" s="67"/>
      <c r="Q179" s="67"/>
      <c r="R179" s="67"/>
      <c r="S179" s="67"/>
      <c r="T179" s="67"/>
      <c r="U179" s="67"/>
      <c r="V179" s="67"/>
      <c r="W179" s="67"/>
      <c r="X179" s="67"/>
      <c r="Y179" s="67"/>
      <c r="Z179" s="67"/>
      <c r="AA179" s="67"/>
      <c r="AB179" s="67"/>
      <c r="AC179" s="67"/>
      <c r="AD179" s="67"/>
      <c r="AE179" s="67"/>
    </row>
    <row r="180" spans="11:31" ht="14.25">
      <c r="K180" s="67"/>
      <c r="L180" s="67"/>
      <c r="M180" s="67"/>
      <c r="N180" s="67"/>
      <c r="O180" s="67"/>
      <c r="P180" s="67"/>
      <c r="Q180" s="67"/>
      <c r="R180" s="67"/>
      <c r="S180" s="67"/>
      <c r="T180" s="67"/>
      <c r="U180" s="67"/>
      <c r="V180" s="67"/>
      <c r="W180" s="67"/>
      <c r="X180" s="67"/>
      <c r="Y180" s="67"/>
      <c r="Z180" s="67"/>
      <c r="AA180" s="67"/>
      <c r="AB180" s="67"/>
      <c r="AC180" s="67"/>
      <c r="AD180" s="67"/>
      <c r="AE180" s="67"/>
    </row>
    <row r="181" spans="11:31" ht="14.25">
      <c r="K181" s="67"/>
      <c r="L181" s="67"/>
      <c r="M181" s="67"/>
      <c r="N181" s="67"/>
      <c r="O181" s="67"/>
      <c r="P181" s="67"/>
      <c r="Q181" s="67"/>
      <c r="R181" s="67"/>
      <c r="S181" s="67"/>
      <c r="T181" s="67"/>
      <c r="U181" s="67"/>
      <c r="V181" s="67"/>
      <c r="W181" s="67"/>
      <c r="X181" s="67"/>
      <c r="Y181" s="67"/>
      <c r="Z181" s="67"/>
      <c r="AA181" s="67"/>
      <c r="AB181" s="67"/>
      <c r="AC181" s="67"/>
      <c r="AD181" s="67"/>
      <c r="AE181" s="67"/>
    </row>
    <row r="182" spans="11:31" ht="14.25">
      <c r="K182" s="67"/>
      <c r="L182" s="67"/>
      <c r="M182" s="67"/>
      <c r="N182" s="67"/>
      <c r="O182" s="67"/>
      <c r="P182" s="67"/>
      <c r="Q182" s="67"/>
      <c r="R182" s="67"/>
      <c r="S182" s="67"/>
      <c r="T182" s="67"/>
      <c r="U182" s="67"/>
      <c r="V182" s="67"/>
      <c r="W182" s="67"/>
      <c r="X182" s="67"/>
      <c r="Y182" s="67"/>
      <c r="Z182" s="67"/>
      <c r="AA182" s="67"/>
      <c r="AB182" s="67"/>
      <c r="AC182" s="67"/>
      <c r="AD182" s="67"/>
      <c r="AE182" s="67"/>
    </row>
    <row r="183" spans="11:31" ht="14.25">
      <c r="K183" s="67"/>
      <c r="L183" s="67"/>
      <c r="M183" s="67"/>
      <c r="N183" s="67"/>
      <c r="O183" s="67"/>
      <c r="P183" s="67"/>
      <c r="Q183" s="67"/>
      <c r="R183" s="67"/>
      <c r="S183" s="67"/>
      <c r="T183" s="67"/>
      <c r="U183" s="67"/>
      <c r="V183" s="67"/>
      <c r="W183" s="67"/>
      <c r="X183" s="67"/>
      <c r="Y183" s="67"/>
      <c r="Z183" s="67"/>
      <c r="AA183" s="67"/>
      <c r="AB183" s="67"/>
      <c r="AC183" s="67"/>
      <c r="AD183" s="67"/>
      <c r="AE183" s="67"/>
    </row>
    <row r="184" spans="11:31" ht="14.25">
      <c r="K184" s="67"/>
      <c r="L184" s="67"/>
      <c r="M184" s="67"/>
      <c r="N184" s="67"/>
      <c r="O184" s="67"/>
      <c r="P184" s="67"/>
      <c r="Q184" s="67"/>
      <c r="R184" s="67"/>
      <c r="S184" s="67"/>
      <c r="T184" s="67"/>
      <c r="U184" s="67"/>
      <c r="V184" s="67"/>
      <c r="W184" s="67"/>
      <c r="X184" s="67"/>
      <c r="Y184" s="67"/>
      <c r="Z184" s="67"/>
      <c r="AA184" s="67"/>
      <c r="AB184" s="67"/>
      <c r="AC184" s="67"/>
      <c r="AD184" s="67"/>
      <c r="AE184" s="67"/>
    </row>
  </sheetData>
  <sheetProtection/>
  <mergeCells count="3">
    <mergeCell ref="H4:J4"/>
    <mergeCell ref="A2:C2"/>
    <mergeCell ref="D4:F4"/>
  </mergeCells>
  <hyperlinks>
    <hyperlink ref="A2" location="Index!A1" display="Back to Index"/>
  </hyperlinks>
  <printOptions/>
  <pageMargins left="0.75" right="0.75" top="0.69" bottom="1" header="0.5" footer="0.5"/>
  <pageSetup fitToHeight="1" fitToWidth="1" horizontalDpi="600" verticalDpi="600" orientation="portrait" scale="60" r:id="rId1"/>
  <headerFooter alignWithMargins="0">
    <oddFooter>&amp;L&amp;Z&amp;F&amp;A&amp;R&amp;D&amp;T</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R168"/>
  <sheetViews>
    <sheetView zoomScale="80" zoomScaleNormal="80" zoomScalePageLayoutView="0" workbookViewId="0" topLeftCell="A1">
      <pane xSplit="1" ySplit="5" topLeftCell="B42" activePane="bottomRight" state="frozen"/>
      <selection pane="topLeft" activeCell="P25" sqref="P25"/>
      <selection pane="topRight" activeCell="P25" sqref="P25"/>
      <selection pane="bottomLeft" activeCell="P25" sqref="P25"/>
      <selection pane="bottomRight" activeCell="N53" sqref="N53"/>
    </sheetView>
  </sheetViews>
  <sheetFormatPr defaultColWidth="9.140625" defaultRowHeight="12.75"/>
  <cols>
    <col min="1" max="1" width="3.7109375" style="0" customWidth="1"/>
    <col min="2" max="2" width="62.57421875" style="0" customWidth="1"/>
    <col min="3" max="3" width="13.00390625" style="223" bestFit="1" customWidth="1"/>
    <col min="4" max="4" width="2.28125" style="234" customWidth="1"/>
    <col min="5" max="5" width="13.00390625" style="223" bestFit="1" customWidth="1"/>
    <col min="6" max="6" width="9.7109375" style="0" customWidth="1"/>
    <col min="7" max="9" width="9.140625" style="67" customWidth="1"/>
    <col min="10" max="10" width="10.28125" style="0" bestFit="1" customWidth="1"/>
  </cols>
  <sheetData>
    <row r="1" spans="1:18" s="42" customFormat="1" ht="20.25">
      <c r="A1" s="41" t="s">
        <v>330</v>
      </c>
      <c r="C1" s="324"/>
      <c r="D1" s="232"/>
      <c r="E1" s="324"/>
      <c r="F1" s="43"/>
      <c r="G1" s="43"/>
      <c r="H1" s="43"/>
      <c r="I1" s="43"/>
      <c r="J1" s="43"/>
      <c r="K1" s="43"/>
      <c r="L1" s="43"/>
      <c r="M1" s="43"/>
      <c r="N1" s="43"/>
      <c r="O1" s="43"/>
      <c r="P1" s="43"/>
      <c r="Q1" s="43"/>
      <c r="R1" s="43"/>
    </row>
    <row r="2" spans="1:18" s="44" customFormat="1" ht="15">
      <c r="A2" s="515" t="s">
        <v>80</v>
      </c>
      <c r="B2" s="515"/>
      <c r="C2" s="515"/>
      <c r="D2" s="233"/>
      <c r="E2" s="293"/>
      <c r="M2" s="45"/>
      <c r="N2" s="45"/>
      <c r="R2" s="45"/>
    </row>
    <row r="3" spans="1:6" ht="15" thickBot="1">
      <c r="A3" s="80"/>
      <c r="B3" s="80"/>
      <c r="F3" s="80"/>
    </row>
    <row r="4" spans="1:9" ht="15.75" thickTop="1">
      <c r="A4" s="80"/>
      <c r="B4" s="527" t="s">
        <v>294</v>
      </c>
      <c r="C4" s="474" t="s">
        <v>411</v>
      </c>
      <c r="D4" s="525"/>
      <c r="E4" s="474" t="s">
        <v>411</v>
      </c>
      <c r="G4"/>
      <c r="H4"/>
      <c r="I4"/>
    </row>
    <row r="5" spans="1:9" ht="15.75" thickBot="1">
      <c r="A5" s="80"/>
      <c r="B5" s="528"/>
      <c r="C5" s="362">
        <v>2013</v>
      </c>
      <c r="D5" s="526"/>
      <c r="E5" s="362">
        <v>2012</v>
      </c>
      <c r="G5"/>
      <c r="H5"/>
      <c r="I5"/>
    </row>
    <row r="6" spans="1:9" ht="15.75" thickTop="1">
      <c r="A6" s="80"/>
      <c r="B6" s="206"/>
      <c r="C6" s="259"/>
      <c r="D6" s="235"/>
      <c r="E6" s="259"/>
      <c r="G6"/>
      <c r="H6"/>
      <c r="I6"/>
    </row>
    <row r="7" spans="1:9" ht="15">
      <c r="A7" s="80"/>
      <c r="B7" s="207" t="s">
        <v>295</v>
      </c>
      <c r="C7" s="229"/>
      <c r="D7" s="228"/>
      <c r="E7" s="229"/>
      <c r="G7"/>
      <c r="H7"/>
      <c r="I7"/>
    </row>
    <row r="8" spans="1:9" ht="15">
      <c r="A8" s="80"/>
      <c r="B8" s="208" t="s">
        <v>414</v>
      </c>
      <c r="C8" s="423">
        <v>1002</v>
      </c>
      <c r="D8" s="228"/>
      <c r="E8" s="423">
        <v>983</v>
      </c>
      <c r="G8"/>
      <c r="H8"/>
      <c r="I8"/>
    </row>
    <row r="9" spans="1:9" ht="15">
      <c r="A9" s="80"/>
      <c r="B9" s="206"/>
      <c r="C9" s="423"/>
      <c r="D9" s="228"/>
      <c r="E9" s="423"/>
      <c r="G9"/>
      <c r="H9"/>
      <c r="I9"/>
    </row>
    <row r="10" spans="1:9" ht="15">
      <c r="A10" s="80"/>
      <c r="B10" s="209" t="s">
        <v>296</v>
      </c>
      <c r="C10" s="423"/>
      <c r="D10" s="228"/>
      <c r="E10" s="423"/>
      <c r="G10"/>
      <c r="H10"/>
      <c r="I10"/>
    </row>
    <row r="11" spans="1:9" ht="15">
      <c r="A11" s="80"/>
      <c r="B11" s="208" t="s">
        <v>8</v>
      </c>
      <c r="C11" s="423">
        <v>223</v>
      </c>
      <c r="D11" s="228"/>
      <c r="E11" s="423">
        <v>144</v>
      </c>
      <c r="F11" s="208"/>
      <c r="G11"/>
      <c r="H11"/>
      <c r="I11"/>
    </row>
    <row r="12" spans="1:9" ht="15">
      <c r="A12" s="80"/>
      <c r="B12" s="208" t="s">
        <v>245</v>
      </c>
      <c r="C12" s="423">
        <v>55</v>
      </c>
      <c r="D12" s="228"/>
      <c r="E12" s="423">
        <v>40</v>
      </c>
      <c r="F12" s="208"/>
      <c r="G12"/>
      <c r="H12"/>
      <c r="I12"/>
    </row>
    <row r="13" spans="1:9" ht="15">
      <c r="A13" s="80"/>
      <c r="B13" s="208" t="s">
        <v>67</v>
      </c>
      <c r="C13" s="501">
        <v>-27</v>
      </c>
      <c r="D13" s="228"/>
      <c r="E13" s="501">
        <v>-39</v>
      </c>
      <c r="F13" s="208"/>
      <c r="G13"/>
      <c r="H13"/>
      <c r="I13"/>
    </row>
    <row r="14" spans="1:9" ht="28.5">
      <c r="A14" s="80"/>
      <c r="B14" s="208" t="s">
        <v>376</v>
      </c>
      <c r="C14" s="501">
        <v>0</v>
      </c>
      <c r="D14" s="228"/>
      <c r="E14" s="501">
        <v>-2</v>
      </c>
      <c r="F14" s="208"/>
      <c r="G14"/>
      <c r="H14"/>
      <c r="I14"/>
    </row>
    <row r="15" spans="1:9" ht="15">
      <c r="A15" s="80"/>
      <c r="B15" s="208" t="s">
        <v>243</v>
      </c>
      <c r="C15" s="501">
        <v>-66</v>
      </c>
      <c r="D15" s="228"/>
      <c r="E15" s="501">
        <v>-109</v>
      </c>
      <c r="F15" s="208"/>
      <c r="G15"/>
      <c r="H15"/>
      <c r="I15"/>
    </row>
    <row r="16" spans="1:9" ht="15" hidden="1">
      <c r="A16" s="80"/>
      <c r="B16" s="208" t="s">
        <v>399</v>
      </c>
      <c r="C16" s="501">
        <v>0</v>
      </c>
      <c r="D16" s="228"/>
      <c r="E16" s="501">
        <v>0</v>
      </c>
      <c r="F16" s="208"/>
      <c r="G16"/>
      <c r="H16"/>
      <c r="I16"/>
    </row>
    <row r="17" spans="1:9" ht="15" hidden="1">
      <c r="A17" s="80"/>
      <c r="B17" s="208" t="s">
        <v>388</v>
      </c>
      <c r="C17" s="501">
        <v>0</v>
      </c>
      <c r="D17" s="228"/>
      <c r="E17" s="501" t="e">
        <v>#N/A</v>
      </c>
      <c r="F17" s="208"/>
      <c r="G17"/>
      <c r="H17"/>
      <c r="I17"/>
    </row>
    <row r="18" spans="1:9" ht="15.75" thickBot="1">
      <c r="A18" s="80"/>
      <c r="B18" s="208" t="s">
        <v>68</v>
      </c>
      <c r="C18" s="501">
        <v>167</v>
      </c>
      <c r="D18" s="228"/>
      <c r="E18" s="501">
        <v>170</v>
      </c>
      <c r="F18" s="208"/>
      <c r="G18"/>
      <c r="H18"/>
      <c r="I18"/>
    </row>
    <row r="19" spans="1:9" ht="15">
      <c r="A19" s="80"/>
      <c r="B19" s="208" t="s">
        <v>297</v>
      </c>
      <c r="C19" s="502">
        <v>1354</v>
      </c>
      <c r="D19" s="228"/>
      <c r="E19" s="502">
        <v>1187</v>
      </c>
      <c r="F19" s="208"/>
      <c r="G19"/>
      <c r="H19"/>
      <c r="I19"/>
    </row>
    <row r="20" spans="1:9" ht="15">
      <c r="A20" s="80"/>
      <c r="B20" s="206"/>
      <c r="C20" s="501"/>
      <c r="D20" s="228"/>
      <c r="E20" s="501"/>
      <c r="G20"/>
      <c r="H20"/>
      <c r="I20"/>
    </row>
    <row r="21" spans="1:9" ht="15">
      <c r="A21" s="80"/>
      <c r="B21" s="210" t="s">
        <v>298</v>
      </c>
      <c r="C21" s="423"/>
      <c r="D21" s="228"/>
      <c r="E21" s="423"/>
      <c r="G21"/>
      <c r="H21"/>
      <c r="I21"/>
    </row>
    <row r="22" spans="1:10" ht="15">
      <c r="A22" s="80"/>
      <c r="B22" s="208" t="s">
        <v>299</v>
      </c>
      <c r="C22" s="423">
        <v>4036</v>
      </c>
      <c r="D22" s="228"/>
      <c r="E22" s="423">
        <v>-2118</v>
      </c>
      <c r="F22" s="208"/>
      <c r="G22"/>
      <c r="H22"/>
      <c r="I22"/>
      <c r="J22" s="253"/>
    </row>
    <row r="23" spans="1:10" ht="15">
      <c r="A23" s="80"/>
      <c r="B23" s="208" t="s">
        <v>276</v>
      </c>
      <c r="C23" s="423">
        <v>7939</v>
      </c>
      <c r="D23" s="228"/>
      <c r="E23" s="423">
        <v>8711</v>
      </c>
      <c r="F23" s="208"/>
      <c r="G23"/>
      <c r="H23"/>
      <c r="I23"/>
      <c r="J23" s="253"/>
    </row>
    <row r="24" spans="1:10" ht="15">
      <c r="A24" s="80"/>
      <c r="B24" s="208" t="s">
        <v>300</v>
      </c>
      <c r="C24" s="423">
        <v>2752</v>
      </c>
      <c r="D24" s="228"/>
      <c r="E24" s="423">
        <v>-948</v>
      </c>
      <c r="F24" s="208"/>
      <c r="G24"/>
      <c r="H24"/>
      <c r="I24"/>
      <c r="J24" s="253"/>
    </row>
    <row r="25" spans="1:10" ht="15">
      <c r="A25" s="80"/>
      <c r="B25" s="208" t="s">
        <v>301</v>
      </c>
      <c r="C25" s="423">
        <v>-13</v>
      </c>
      <c r="D25" s="228"/>
      <c r="E25" s="423">
        <v>-4473.774000000001</v>
      </c>
      <c r="F25" s="208"/>
      <c r="G25"/>
      <c r="H25"/>
      <c r="I25"/>
      <c r="J25" s="253"/>
    </row>
    <row r="26" spans="1:10" ht="15">
      <c r="A26" s="80"/>
      <c r="B26" s="208" t="s">
        <v>302</v>
      </c>
      <c r="C26" s="423">
        <v>4305</v>
      </c>
      <c r="D26" s="228"/>
      <c r="E26" s="423">
        <v>3173.774</v>
      </c>
      <c r="F26" s="208"/>
      <c r="G26"/>
      <c r="H26"/>
      <c r="I26"/>
      <c r="J26" s="253"/>
    </row>
    <row r="27" spans="1:10" ht="15">
      <c r="A27" s="80"/>
      <c r="B27" s="206"/>
      <c r="C27" s="423"/>
      <c r="D27" s="228"/>
      <c r="E27" s="423">
        <v>0</v>
      </c>
      <c r="G27"/>
      <c r="H27"/>
      <c r="I27"/>
      <c r="J27" s="253"/>
    </row>
    <row r="28" spans="1:10" ht="15">
      <c r="A28" s="80"/>
      <c r="B28" s="209" t="s">
        <v>303</v>
      </c>
      <c r="C28" s="423"/>
      <c r="D28" s="228"/>
      <c r="E28" s="423">
        <v>0</v>
      </c>
      <c r="G28"/>
      <c r="H28"/>
      <c r="I28"/>
      <c r="J28" s="253"/>
    </row>
    <row r="29" spans="1:10" ht="15">
      <c r="A29" s="80"/>
      <c r="B29" s="208" t="s">
        <v>383</v>
      </c>
      <c r="C29" s="423">
        <v>-305</v>
      </c>
      <c r="D29" s="228"/>
      <c r="E29" s="423">
        <v>-93</v>
      </c>
      <c r="F29" s="208"/>
      <c r="G29"/>
      <c r="H29"/>
      <c r="I29"/>
      <c r="J29" s="253"/>
    </row>
    <row r="30" spans="1:10" ht="15">
      <c r="A30" s="80"/>
      <c r="B30" s="208" t="s">
        <v>261</v>
      </c>
      <c r="C30" s="423">
        <v>42</v>
      </c>
      <c r="D30" s="228"/>
      <c r="E30" s="423">
        <v>127</v>
      </c>
      <c r="F30" s="208"/>
      <c r="G30"/>
      <c r="H30"/>
      <c r="I30"/>
      <c r="J30" s="253"/>
    </row>
    <row r="31" spans="1:10" ht="15">
      <c r="A31" s="80"/>
      <c r="B31" s="208" t="s">
        <v>262</v>
      </c>
      <c r="C31" s="423">
        <v>-2925</v>
      </c>
      <c r="D31" s="228"/>
      <c r="E31" s="423">
        <v>-6975</v>
      </c>
      <c r="F31" s="208"/>
      <c r="G31"/>
      <c r="H31"/>
      <c r="I31"/>
      <c r="J31" s="253"/>
    </row>
    <row r="32" spans="1:10" ht="15">
      <c r="A32" s="80"/>
      <c r="B32" s="208" t="s">
        <v>304</v>
      </c>
      <c r="C32" s="423">
        <v>-1284</v>
      </c>
      <c r="D32" s="228"/>
      <c r="E32" s="423">
        <v>-1155</v>
      </c>
      <c r="F32" s="208"/>
      <c r="G32"/>
      <c r="H32"/>
      <c r="I32"/>
      <c r="J32" s="253"/>
    </row>
    <row r="33" spans="1:10" ht="15">
      <c r="A33" s="80"/>
      <c r="B33" s="208" t="s">
        <v>305</v>
      </c>
      <c r="C33" s="423">
        <v>-13159</v>
      </c>
      <c r="D33" s="228"/>
      <c r="E33" s="423">
        <v>-2340</v>
      </c>
      <c r="F33" s="208"/>
      <c r="G33"/>
      <c r="H33"/>
      <c r="I33"/>
      <c r="J33" s="253"/>
    </row>
    <row r="34" spans="1:10" ht="15">
      <c r="A34" s="80"/>
      <c r="B34" s="208" t="s">
        <v>265</v>
      </c>
      <c r="C34" s="423">
        <v>-534</v>
      </c>
      <c r="D34" s="228"/>
      <c r="E34" s="423">
        <v>-2244</v>
      </c>
      <c r="F34" s="208"/>
      <c r="G34"/>
      <c r="H34"/>
      <c r="I34"/>
      <c r="J34" s="253"/>
    </row>
    <row r="35" spans="1:10" ht="15">
      <c r="A35" s="80"/>
      <c r="B35" s="208" t="s">
        <v>272</v>
      </c>
      <c r="C35" s="423">
        <v>-2808</v>
      </c>
      <c r="D35" s="228"/>
      <c r="E35" s="423">
        <v>2792</v>
      </c>
      <c r="F35" s="208"/>
      <c r="G35"/>
      <c r="H35"/>
      <c r="I35"/>
      <c r="J35" s="253"/>
    </row>
    <row r="36" spans="1:10" ht="15">
      <c r="A36" s="80"/>
      <c r="B36" s="206"/>
      <c r="C36" s="423"/>
      <c r="D36" s="228"/>
      <c r="E36" s="423">
        <v>0</v>
      </c>
      <c r="G36"/>
      <c r="H36"/>
      <c r="I36"/>
      <c r="J36" s="253"/>
    </row>
    <row r="37" spans="1:10" ht="15">
      <c r="A37" s="80"/>
      <c r="B37" s="208" t="s">
        <v>306</v>
      </c>
      <c r="C37" s="423">
        <v>-76</v>
      </c>
      <c r="D37" s="228"/>
      <c r="E37" s="423">
        <v>-82</v>
      </c>
      <c r="G37"/>
      <c r="H37"/>
      <c r="I37"/>
      <c r="J37" s="253"/>
    </row>
    <row r="38" spans="1:10" ht="15.75" thickBot="1">
      <c r="A38" s="80"/>
      <c r="B38" s="206"/>
      <c r="C38" s="444"/>
      <c r="D38" s="228"/>
      <c r="E38" s="444">
        <v>0</v>
      </c>
      <c r="G38"/>
      <c r="H38"/>
      <c r="I38"/>
      <c r="J38" s="253"/>
    </row>
    <row r="39" spans="1:10" ht="15.75" thickBot="1">
      <c r="A39" s="80"/>
      <c r="B39" s="392" t="s">
        <v>406</v>
      </c>
      <c r="C39" s="444">
        <v>-676</v>
      </c>
      <c r="D39" s="228"/>
      <c r="E39" s="444">
        <v>-4438.000000000002</v>
      </c>
      <c r="G39"/>
      <c r="H39"/>
      <c r="I39"/>
      <c r="J39" s="253"/>
    </row>
    <row r="40" spans="1:10" ht="15">
      <c r="A40" s="80"/>
      <c r="B40" s="206"/>
      <c r="C40" s="423"/>
      <c r="D40" s="228"/>
      <c r="E40" s="423"/>
      <c r="G40"/>
      <c r="H40"/>
      <c r="I40"/>
      <c r="J40" s="253"/>
    </row>
    <row r="41" spans="1:10" ht="15">
      <c r="A41" s="80"/>
      <c r="B41" s="207" t="s">
        <v>307</v>
      </c>
      <c r="C41" s="423"/>
      <c r="D41" s="228"/>
      <c r="E41" s="423"/>
      <c r="G41"/>
      <c r="H41"/>
      <c r="I41"/>
      <c r="J41" s="253"/>
    </row>
    <row r="42" spans="1:10" ht="15">
      <c r="A42" s="80"/>
      <c r="B42" s="207"/>
      <c r="C42" s="423"/>
      <c r="D42" s="228"/>
      <c r="E42" s="423"/>
      <c r="G42"/>
      <c r="H42"/>
      <c r="I42"/>
      <c r="J42" s="253"/>
    </row>
    <row r="43" spans="1:10" ht="15">
      <c r="A43" s="80"/>
      <c r="B43" s="208" t="s">
        <v>405</v>
      </c>
      <c r="C43" s="423">
        <v>0</v>
      </c>
      <c r="D43" s="228"/>
      <c r="E43" s="423">
        <v>11</v>
      </c>
      <c r="G43"/>
      <c r="H43"/>
      <c r="I43"/>
      <c r="J43" s="253"/>
    </row>
    <row r="44" spans="1:10" ht="15" hidden="1">
      <c r="A44" s="80"/>
      <c r="B44" s="208" t="s">
        <v>400</v>
      </c>
      <c r="C44" s="423">
        <v>0</v>
      </c>
      <c r="D44" s="228"/>
      <c r="E44" s="423">
        <v>0</v>
      </c>
      <c r="G44"/>
      <c r="H44"/>
      <c r="I44"/>
      <c r="J44" s="253"/>
    </row>
    <row r="45" spans="1:10" ht="15" hidden="1">
      <c r="A45" s="80"/>
      <c r="B45" s="208" t="s">
        <v>404</v>
      </c>
      <c r="C45" s="423">
        <v>0</v>
      </c>
      <c r="D45" s="228"/>
      <c r="E45" s="423">
        <v>0</v>
      </c>
      <c r="F45" s="208"/>
      <c r="G45"/>
      <c r="H45"/>
      <c r="I45"/>
      <c r="J45" s="253"/>
    </row>
    <row r="46" spans="1:10" ht="15">
      <c r="A46" s="80"/>
      <c r="B46" s="208" t="s">
        <v>308</v>
      </c>
      <c r="C46" s="423">
        <v>1</v>
      </c>
      <c r="D46" s="228"/>
      <c r="E46" s="423">
        <v>24</v>
      </c>
      <c r="F46" s="208"/>
      <c r="G46"/>
      <c r="H46"/>
      <c r="I46"/>
      <c r="J46" s="253"/>
    </row>
    <row r="47" spans="1:10" ht="15">
      <c r="A47" s="80"/>
      <c r="B47" s="208" t="s">
        <v>309</v>
      </c>
      <c r="C47" s="423">
        <v>-31</v>
      </c>
      <c r="D47" s="228"/>
      <c r="E47" s="423">
        <v>-32</v>
      </c>
      <c r="F47" s="208"/>
      <c r="G47"/>
      <c r="H47"/>
      <c r="I47"/>
      <c r="J47" s="253"/>
    </row>
    <row r="48" spans="1:10" ht="15">
      <c r="A48" s="80"/>
      <c r="B48" s="208" t="s">
        <v>310</v>
      </c>
      <c r="C48" s="423">
        <v>2</v>
      </c>
      <c r="D48" s="228"/>
      <c r="E48" s="423">
        <v>6</v>
      </c>
      <c r="F48" s="208"/>
      <c r="G48"/>
      <c r="H48"/>
      <c r="I48"/>
      <c r="J48" s="253"/>
    </row>
    <row r="49" spans="1:10" ht="15.75" thickBot="1">
      <c r="A49" s="80"/>
      <c r="B49" s="211"/>
      <c r="C49" s="444"/>
      <c r="D49" s="228"/>
      <c r="E49" s="444">
        <v>0</v>
      </c>
      <c r="F49" s="208"/>
      <c r="G49"/>
      <c r="H49"/>
      <c r="I49"/>
      <c r="J49" s="253"/>
    </row>
    <row r="50" spans="1:10" ht="15.75" thickBot="1">
      <c r="A50" s="80"/>
      <c r="B50" s="212" t="s">
        <v>384</v>
      </c>
      <c r="C50" s="444">
        <v>-28</v>
      </c>
      <c r="D50" s="228"/>
      <c r="E50" s="444">
        <v>9</v>
      </c>
      <c r="G50"/>
      <c r="H50"/>
      <c r="I50"/>
      <c r="J50" s="253"/>
    </row>
    <row r="51" spans="1:10" ht="15">
      <c r="A51" s="80"/>
      <c r="B51" s="211"/>
      <c r="C51" s="423"/>
      <c r="D51" s="228"/>
      <c r="E51" s="423"/>
      <c r="G51"/>
      <c r="H51"/>
      <c r="I51"/>
      <c r="J51" s="253"/>
    </row>
    <row r="52" spans="1:10" ht="15">
      <c r="A52" s="80"/>
      <c r="B52" s="212" t="s">
        <v>311</v>
      </c>
      <c r="C52" s="423"/>
      <c r="D52" s="228"/>
      <c r="E52" s="423"/>
      <c r="G52"/>
      <c r="H52"/>
      <c r="I52"/>
      <c r="J52" s="253"/>
    </row>
    <row r="53" spans="1:10" ht="15">
      <c r="A53" s="80"/>
      <c r="B53" s="213" t="s">
        <v>386</v>
      </c>
      <c r="C53" s="423">
        <v>14</v>
      </c>
      <c r="D53" s="228"/>
      <c r="E53" s="423">
        <v>20</v>
      </c>
      <c r="G53"/>
      <c r="H53"/>
      <c r="I53"/>
      <c r="J53" s="253"/>
    </row>
    <row r="54" spans="1:10" ht="15" hidden="1">
      <c r="A54" s="80"/>
      <c r="B54" s="213" t="s">
        <v>339</v>
      </c>
      <c r="C54" s="423">
        <v>0</v>
      </c>
      <c r="D54" s="228"/>
      <c r="E54" s="423">
        <v>0</v>
      </c>
      <c r="G54"/>
      <c r="H54"/>
      <c r="I54"/>
      <c r="J54" s="253"/>
    </row>
    <row r="55" spans="1:10" ht="15">
      <c r="A55" s="80"/>
      <c r="B55" s="344" t="s">
        <v>370</v>
      </c>
      <c r="C55" s="423">
        <v>0</v>
      </c>
      <c r="D55" s="228"/>
      <c r="E55" s="423">
        <v>1943</v>
      </c>
      <c r="G55"/>
      <c r="H55"/>
      <c r="I55"/>
      <c r="J55" s="253"/>
    </row>
    <row r="56" spans="1:10" ht="15" hidden="1">
      <c r="A56" s="80"/>
      <c r="B56" s="208" t="s">
        <v>358</v>
      </c>
      <c r="C56" s="423">
        <v>0</v>
      </c>
      <c r="D56" s="228"/>
      <c r="E56" s="423">
        <v>0</v>
      </c>
      <c r="G56"/>
      <c r="H56"/>
      <c r="I56"/>
      <c r="J56" s="253"/>
    </row>
    <row r="57" spans="1:10" ht="15" hidden="1">
      <c r="A57" s="80"/>
      <c r="B57" s="208" t="s">
        <v>337</v>
      </c>
      <c r="C57" s="423">
        <v>0</v>
      </c>
      <c r="D57" s="228"/>
      <c r="E57" s="423">
        <v>0</v>
      </c>
      <c r="G57"/>
      <c r="H57"/>
      <c r="I57"/>
      <c r="J57" s="253"/>
    </row>
    <row r="58" spans="1:10" ht="15" hidden="1">
      <c r="A58" s="80"/>
      <c r="B58" s="208" t="s">
        <v>352</v>
      </c>
      <c r="C58" s="423">
        <v>0</v>
      </c>
      <c r="D58" s="228"/>
      <c r="E58" s="423">
        <v>0</v>
      </c>
      <c r="G58"/>
      <c r="H58"/>
      <c r="I58"/>
      <c r="J58" s="253"/>
    </row>
    <row r="59" spans="1:5" ht="15" hidden="1">
      <c r="A59" s="80"/>
      <c r="B59" s="208" t="s">
        <v>364</v>
      </c>
      <c r="C59" s="423">
        <v>0</v>
      </c>
      <c r="D59" s="228"/>
      <c r="E59" s="423">
        <v>0</v>
      </c>
    </row>
    <row r="60" spans="1:10" ht="15" hidden="1">
      <c r="A60" s="80"/>
      <c r="B60" s="208" t="s">
        <v>396</v>
      </c>
      <c r="C60" s="423">
        <v>0</v>
      </c>
      <c r="D60" s="228"/>
      <c r="E60" s="423">
        <v>0</v>
      </c>
      <c r="G60"/>
      <c r="H60"/>
      <c r="I60"/>
      <c r="J60" s="253"/>
    </row>
    <row r="61" spans="1:5" ht="15.75" thickBot="1">
      <c r="A61" s="80"/>
      <c r="B61" s="208"/>
      <c r="C61" s="444"/>
      <c r="D61" s="228"/>
      <c r="E61" s="444"/>
    </row>
    <row r="62" spans="1:10" ht="15.75" thickBot="1">
      <c r="A62" s="80"/>
      <c r="B62" s="207" t="s">
        <v>385</v>
      </c>
      <c r="C62" s="444">
        <v>14</v>
      </c>
      <c r="D62" s="228"/>
      <c r="E62" s="444">
        <v>1963</v>
      </c>
      <c r="G62"/>
      <c r="H62"/>
      <c r="I62"/>
      <c r="J62" s="253"/>
    </row>
    <row r="63" spans="1:10" ht="15.75" thickBot="1">
      <c r="A63" s="80"/>
      <c r="B63" s="208" t="s">
        <v>312</v>
      </c>
      <c r="C63" s="444">
        <v>35</v>
      </c>
      <c r="D63" s="228"/>
      <c r="E63" s="444">
        <v>-15</v>
      </c>
      <c r="G63"/>
      <c r="H63"/>
      <c r="I63"/>
      <c r="J63" s="253"/>
    </row>
    <row r="64" spans="1:10" ht="15">
      <c r="A64" s="80"/>
      <c r="B64" s="206"/>
      <c r="C64" s="423"/>
      <c r="D64" s="228"/>
      <c r="E64" s="423"/>
      <c r="G64"/>
      <c r="H64"/>
      <c r="I64"/>
      <c r="J64" s="253"/>
    </row>
    <row r="65" spans="1:10" ht="15">
      <c r="A65" s="80"/>
      <c r="B65" s="207" t="s">
        <v>313</v>
      </c>
      <c r="C65" s="423">
        <v>-655</v>
      </c>
      <c r="D65" s="228"/>
      <c r="E65" s="423">
        <v>-2481.000000000002</v>
      </c>
      <c r="G65"/>
      <c r="H65"/>
      <c r="I65"/>
      <c r="J65" s="253"/>
    </row>
    <row r="66" spans="1:10" ht="15.75" thickBot="1">
      <c r="A66" s="80"/>
      <c r="B66" s="207" t="s">
        <v>314</v>
      </c>
      <c r="C66" s="423">
        <v>10993</v>
      </c>
      <c r="D66" s="228"/>
      <c r="E66" s="423">
        <v>18891</v>
      </c>
      <c r="G66"/>
      <c r="H66"/>
      <c r="I66"/>
      <c r="J66" s="253"/>
    </row>
    <row r="67" spans="1:10" ht="15.75" thickBot="1">
      <c r="A67" s="80"/>
      <c r="B67" s="392" t="s">
        <v>397</v>
      </c>
      <c r="C67" s="503">
        <v>10338</v>
      </c>
      <c r="D67" s="228"/>
      <c r="E67" s="503">
        <v>16410</v>
      </c>
      <c r="G67"/>
      <c r="H67"/>
      <c r="I67"/>
      <c r="J67" s="253"/>
    </row>
    <row r="68" spans="1:9" ht="15">
      <c r="A68" s="80"/>
      <c r="B68" s="207"/>
      <c r="C68" s="345"/>
      <c r="D68" s="228"/>
      <c r="E68" s="345"/>
      <c r="G68"/>
      <c r="H68"/>
      <c r="I68"/>
    </row>
    <row r="69" spans="1:9" ht="15">
      <c r="A69" s="80"/>
      <c r="B69" s="207"/>
      <c r="C69" s="229"/>
      <c r="D69" s="228"/>
      <c r="E69" s="229"/>
      <c r="G69"/>
      <c r="H69"/>
      <c r="I69"/>
    </row>
    <row r="70" spans="1:9" ht="15.75" thickBot="1">
      <c r="A70" s="80"/>
      <c r="B70" s="214"/>
      <c r="C70" s="230"/>
      <c r="D70" s="236"/>
      <c r="E70" s="230"/>
      <c r="G70"/>
      <c r="H70"/>
      <c r="I70"/>
    </row>
    <row r="71" spans="4:7" ht="15" thickTop="1">
      <c r="D71" s="237"/>
      <c r="G71"/>
    </row>
    <row r="72" spans="4:7" ht="14.25">
      <c r="D72" s="237"/>
      <c r="G72"/>
    </row>
    <row r="73" spans="4:7" ht="14.25">
      <c r="D73" s="237"/>
      <c r="G73"/>
    </row>
    <row r="74" spans="4:7" ht="14.25">
      <c r="D74" s="237"/>
      <c r="G74"/>
    </row>
    <row r="75" spans="4:7" ht="14.25">
      <c r="D75" s="237"/>
      <c r="G75"/>
    </row>
    <row r="76" spans="4:7" ht="14.25">
      <c r="D76" s="237"/>
      <c r="G76"/>
    </row>
    <row r="77" ht="14.25">
      <c r="D77" s="237"/>
    </row>
    <row r="78" ht="14.25">
      <c r="D78" s="237"/>
    </row>
    <row r="79" ht="14.25">
      <c r="D79" s="237"/>
    </row>
    <row r="80" ht="14.25">
      <c r="D80" s="237"/>
    </row>
    <row r="81" ht="14.25">
      <c r="D81" s="237"/>
    </row>
    <row r="82" ht="14.25">
      <c r="D82" s="237"/>
    </row>
    <row r="83" ht="14.25">
      <c r="D83" s="237"/>
    </row>
    <row r="84" ht="14.25">
      <c r="D84" s="237"/>
    </row>
    <row r="85" ht="14.25">
      <c r="D85" s="237"/>
    </row>
    <row r="86" ht="14.25">
      <c r="D86" s="237"/>
    </row>
    <row r="87" ht="14.25">
      <c r="D87" s="237"/>
    </row>
    <row r="88" ht="14.25">
      <c r="D88" s="237"/>
    </row>
    <row r="89" ht="14.25">
      <c r="D89" s="237"/>
    </row>
    <row r="90" ht="14.25">
      <c r="D90" s="237"/>
    </row>
    <row r="91" ht="14.25">
      <c r="D91" s="237"/>
    </row>
    <row r="92" ht="14.25">
      <c r="D92" s="237"/>
    </row>
    <row r="93" ht="14.25">
      <c r="D93" s="237"/>
    </row>
    <row r="94" ht="14.25">
      <c r="D94" s="237"/>
    </row>
    <row r="95" ht="14.25">
      <c r="D95" s="237"/>
    </row>
    <row r="96" ht="14.25">
      <c r="D96" s="237"/>
    </row>
    <row r="97" ht="14.25">
      <c r="D97" s="237"/>
    </row>
    <row r="98" ht="14.25">
      <c r="D98" s="237"/>
    </row>
    <row r="99" ht="14.25">
      <c r="D99" s="237"/>
    </row>
    <row r="100" ht="14.25">
      <c r="D100" s="237"/>
    </row>
    <row r="101" ht="14.25">
      <c r="D101" s="237"/>
    </row>
    <row r="102" ht="14.25">
      <c r="D102" s="237"/>
    </row>
    <row r="103" ht="14.25">
      <c r="D103" s="237"/>
    </row>
    <row r="104" ht="14.25">
      <c r="D104" s="237"/>
    </row>
    <row r="105" ht="14.25">
      <c r="D105" s="237"/>
    </row>
    <row r="106" ht="14.25">
      <c r="D106" s="237"/>
    </row>
    <row r="107" ht="14.25">
      <c r="D107" s="237"/>
    </row>
    <row r="108" ht="14.25">
      <c r="D108" s="237"/>
    </row>
    <row r="109" ht="14.25">
      <c r="D109" s="237"/>
    </row>
    <row r="110" ht="14.25">
      <c r="D110" s="237"/>
    </row>
    <row r="111" ht="14.25">
      <c r="D111" s="237"/>
    </row>
    <row r="112" ht="14.25">
      <c r="D112" s="237"/>
    </row>
    <row r="113" ht="14.25">
      <c r="D113" s="237"/>
    </row>
    <row r="114" ht="14.25">
      <c r="D114" s="237"/>
    </row>
    <row r="115" ht="14.25">
      <c r="D115" s="237"/>
    </row>
    <row r="116" ht="14.25">
      <c r="D116" s="237"/>
    </row>
    <row r="117" ht="14.25">
      <c r="D117" s="237"/>
    </row>
    <row r="118" ht="14.25">
      <c r="D118" s="237"/>
    </row>
    <row r="119" ht="14.25">
      <c r="D119" s="237"/>
    </row>
    <row r="120" ht="14.25">
      <c r="D120" s="237"/>
    </row>
    <row r="121" ht="14.25">
      <c r="D121" s="237"/>
    </row>
    <row r="122" ht="14.25">
      <c r="D122" s="237"/>
    </row>
    <row r="123" ht="14.25">
      <c r="D123" s="237"/>
    </row>
    <row r="124" ht="14.25">
      <c r="D124" s="237"/>
    </row>
    <row r="125" ht="14.25">
      <c r="D125" s="237"/>
    </row>
    <row r="126" ht="14.25">
      <c r="D126" s="237"/>
    </row>
    <row r="127" ht="14.25">
      <c r="D127" s="237"/>
    </row>
    <row r="128" ht="14.25">
      <c r="D128" s="237"/>
    </row>
    <row r="129" ht="14.25">
      <c r="D129" s="237"/>
    </row>
    <row r="130" ht="14.25">
      <c r="D130" s="237"/>
    </row>
    <row r="131" ht="14.25">
      <c r="D131" s="237"/>
    </row>
    <row r="132" ht="14.25">
      <c r="D132" s="237"/>
    </row>
    <row r="133" ht="14.25">
      <c r="D133" s="237"/>
    </row>
    <row r="134" ht="14.25">
      <c r="D134" s="237"/>
    </row>
    <row r="135" ht="14.25">
      <c r="D135" s="237"/>
    </row>
    <row r="136" ht="14.25">
      <c r="D136" s="237"/>
    </row>
    <row r="137" ht="14.25">
      <c r="D137" s="237"/>
    </row>
    <row r="138" ht="14.25">
      <c r="D138" s="237"/>
    </row>
    <row r="139" ht="14.25">
      <c r="D139" s="237"/>
    </row>
    <row r="140" ht="14.25">
      <c r="D140" s="237"/>
    </row>
    <row r="141" ht="14.25">
      <c r="D141" s="237"/>
    </row>
    <row r="142" ht="14.25">
      <c r="D142" s="237"/>
    </row>
    <row r="143" ht="14.25">
      <c r="D143" s="237"/>
    </row>
    <row r="144" ht="14.25">
      <c r="D144" s="237"/>
    </row>
    <row r="145" ht="14.25">
      <c r="D145" s="237"/>
    </row>
    <row r="146" ht="14.25">
      <c r="D146" s="237"/>
    </row>
    <row r="147" ht="14.25">
      <c r="D147" s="237"/>
    </row>
    <row r="148" ht="14.25">
      <c r="D148" s="237"/>
    </row>
    <row r="149" ht="14.25">
      <c r="D149" s="237"/>
    </row>
    <row r="150" ht="14.25">
      <c r="D150" s="237"/>
    </row>
    <row r="151" ht="14.25">
      <c r="D151" s="237"/>
    </row>
    <row r="152" ht="14.25">
      <c r="D152" s="237"/>
    </row>
    <row r="153" ht="14.25">
      <c r="D153" s="237"/>
    </row>
    <row r="154" ht="14.25">
      <c r="D154" s="237"/>
    </row>
    <row r="155" ht="14.25">
      <c r="D155" s="237"/>
    </row>
    <row r="156" ht="14.25">
      <c r="D156" s="237"/>
    </row>
    <row r="157" ht="14.25">
      <c r="D157" s="237"/>
    </row>
    <row r="158" ht="14.25">
      <c r="D158" s="237"/>
    </row>
    <row r="159" ht="14.25">
      <c r="D159" s="237"/>
    </row>
    <row r="160" ht="14.25">
      <c r="D160" s="237"/>
    </row>
    <row r="161" ht="14.25">
      <c r="D161" s="237"/>
    </row>
    <row r="162" ht="14.25">
      <c r="D162" s="237"/>
    </row>
    <row r="163" ht="14.25">
      <c r="D163" s="237"/>
    </row>
    <row r="164" ht="14.25">
      <c r="D164" s="237"/>
    </row>
    <row r="165" ht="14.25">
      <c r="D165" s="237"/>
    </row>
    <row r="166" ht="14.25">
      <c r="D166" s="237"/>
    </row>
    <row r="167" ht="14.25">
      <c r="D167" s="237"/>
    </row>
    <row r="168" ht="14.25">
      <c r="D168" s="237"/>
    </row>
  </sheetData>
  <sheetProtection/>
  <mergeCells count="3">
    <mergeCell ref="D4:D5"/>
    <mergeCell ref="A2:C2"/>
    <mergeCell ref="B4:B5"/>
  </mergeCells>
  <hyperlinks>
    <hyperlink ref="A2" location="Index!A1" display="Back to Index"/>
  </hyperlinks>
  <printOptions/>
  <pageMargins left="0.75" right="0.75" top="0.72" bottom="1" header="0.5" footer="0.5"/>
  <pageSetup fitToHeight="1" fitToWidth="1" horizontalDpi="600" verticalDpi="600" orientation="portrait" scale="64" r:id="rId1"/>
</worksheet>
</file>

<file path=xl/worksheets/sheet28.xml><?xml version="1.0" encoding="utf-8"?>
<worksheet xmlns="http://schemas.openxmlformats.org/spreadsheetml/2006/main" xmlns:r="http://schemas.openxmlformats.org/officeDocument/2006/relationships">
  <sheetPr>
    <tabColor indexed="25"/>
    <pageSetUpPr fitToPage="1"/>
  </sheetPr>
  <dimension ref="A1:T16"/>
  <sheetViews>
    <sheetView zoomScale="80" zoomScaleNormal="80" zoomScalePageLayoutView="0" workbookViewId="0" topLeftCell="A1">
      <pane ySplit="2" topLeftCell="A3" activePane="bottomLeft" state="frozen"/>
      <selection pane="topLeft" activeCell="P25" sqref="P25"/>
      <selection pane="bottomLeft" activeCell="F17" sqref="F17"/>
    </sheetView>
  </sheetViews>
  <sheetFormatPr defaultColWidth="9.140625" defaultRowHeight="12.75"/>
  <sheetData>
    <row r="1" spans="1:20" s="42" customFormat="1" ht="20.25">
      <c r="A1" s="41" t="s">
        <v>172</v>
      </c>
      <c r="D1" s="41"/>
      <c r="E1" s="41"/>
      <c r="F1" s="43"/>
      <c r="G1" s="43"/>
      <c r="H1" s="43"/>
      <c r="I1" s="43"/>
      <c r="J1" s="43"/>
      <c r="K1" s="43"/>
      <c r="L1" s="43"/>
      <c r="M1" s="43"/>
      <c r="N1" s="43"/>
      <c r="O1" s="43"/>
      <c r="P1" s="43"/>
      <c r="Q1" s="43"/>
      <c r="R1" s="43"/>
      <c r="S1" s="43"/>
      <c r="T1" s="43"/>
    </row>
    <row r="2" spans="1:20" s="44" customFormat="1" ht="15">
      <c r="A2" s="515" t="s">
        <v>80</v>
      </c>
      <c r="B2" s="515"/>
      <c r="C2" s="515"/>
      <c r="O2" s="45"/>
      <c r="P2" s="45"/>
      <c r="T2" s="45"/>
    </row>
    <row r="4" ht="15">
      <c r="A4" s="68" t="s">
        <v>198</v>
      </c>
    </row>
    <row r="5" s="80" customFormat="1" ht="15">
      <c r="A5" s="68" t="s">
        <v>171</v>
      </c>
    </row>
    <row r="6" ht="15">
      <c r="A6" s="68" t="s">
        <v>195</v>
      </c>
    </row>
    <row r="7" s="80" customFormat="1" ht="15">
      <c r="A7" s="68" t="s">
        <v>170</v>
      </c>
    </row>
    <row r="8" s="80" customFormat="1" ht="15">
      <c r="A8" s="68" t="s">
        <v>180</v>
      </c>
    </row>
    <row r="9" ht="15">
      <c r="A9" s="68" t="s">
        <v>177</v>
      </c>
    </row>
    <row r="10" s="80" customFormat="1" ht="15">
      <c r="A10" s="68" t="s">
        <v>167</v>
      </c>
    </row>
    <row r="11" s="80" customFormat="1" ht="15">
      <c r="A11" s="68" t="s">
        <v>168</v>
      </c>
    </row>
    <row r="12" s="80" customFormat="1" ht="15">
      <c r="A12" s="68" t="s">
        <v>178</v>
      </c>
    </row>
    <row r="13" s="80" customFormat="1" ht="15">
      <c r="A13" s="68" t="s">
        <v>179</v>
      </c>
    </row>
    <row r="14" ht="15">
      <c r="A14" s="68" t="s">
        <v>227</v>
      </c>
    </row>
    <row r="15" s="80" customFormat="1" ht="15">
      <c r="A15" s="68" t="s">
        <v>169</v>
      </c>
    </row>
    <row r="16" ht="15">
      <c r="A16" s="68" t="s">
        <v>184</v>
      </c>
    </row>
    <row r="36" ht="10.5" customHeight="1"/>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tabColor indexed="31"/>
    <pageSetUpPr fitToPage="1"/>
  </sheetPr>
  <dimension ref="A1:AL37"/>
  <sheetViews>
    <sheetView zoomScale="80" zoomScaleNormal="80" zoomScalePageLayoutView="0" workbookViewId="0" topLeftCell="A1">
      <pane xSplit="3" ySplit="2" topLeftCell="S18" activePane="bottomRight" state="frozen"/>
      <selection pane="topLeft" activeCell="P25" sqref="P25"/>
      <selection pane="topRight" activeCell="P25" sqref="P25"/>
      <selection pane="bottomLeft" activeCell="P25" sqref="P25"/>
      <selection pane="bottomRight" activeCell="AI36" sqref="AI36"/>
    </sheetView>
  </sheetViews>
  <sheetFormatPr defaultColWidth="9.140625" defaultRowHeight="12.75" outlineLevelCol="1"/>
  <cols>
    <col min="1" max="1" width="2.00390625" style="23" customWidth="1"/>
    <col min="2" max="2" width="2.28125" style="34" customWidth="1"/>
    <col min="3" max="3" width="53.140625" style="23" customWidth="1"/>
    <col min="4" max="4" width="8.57421875" style="126" hidden="1" customWidth="1" outlineLevel="1"/>
    <col min="5" max="5" width="8.57421875" style="121" hidden="1" customWidth="1" outlineLevel="1"/>
    <col min="6" max="8" width="9.57421875" style="121" hidden="1" customWidth="1" outlineLevel="1"/>
    <col min="9" max="9" width="2.57421875" style="121" hidden="1" customWidth="1" outlineLevel="1"/>
    <col min="10" max="18" width="8.57421875" style="121" hidden="1" customWidth="1" outlineLevel="1"/>
    <col min="19" max="19" width="8.57421875" style="121" hidden="1" customWidth="1" outlineLevel="1" collapsed="1"/>
    <col min="20" max="21" width="8.57421875" style="121" hidden="1" customWidth="1" outlineLevel="1"/>
    <col min="22" max="22" width="8.57421875" style="121" customWidth="1" collapsed="1"/>
    <col min="23" max="25" width="8.57421875" style="121" customWidth="1"/>
    <col min="26" max="26" width="8.57421875" style="122" bestFit="1" customWidth="1"/>
    <col min="27" max="28" width="9.8515625" style="121" bestFit="1" customWidth="1"/>
    <col min="29" max="29" width="2.421875" style="121" customWidth="1"/>
    <col min="30" max="30" width="8.57421875" style="121" hidden="1" customWidth="1"/>
    <col min="31" max="31" width="8.57421875" style="122" hidden="1" customWidth="1"/>
    <col min="32" max="32" width="6.57421875" style="121" hidden="1" customWidth="1"/>
    <col min="33" max="33" width="9.140625" style="23" customWidth="1"/>
    <col min="34" max="34" width="10.00390625" style="23" bestFit="1" customWidth="1"/>
    <col min="35" max="16384" width="9.140625" style="23" customWidth="1"/>
  </cols>
  <sheetData>
    <row r="1" spans="1:32" s="42" customFormat="1" ht="20.25">
      <c r="A1" s="41" t="s">
        <v>92</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C2" s="74"/>
      <c r="AD2" s="74" t="s">
        <v>366</v>
      </c>
      <c r="AE2" s="74" t="s">
        <v>392</v>
      </c>
      <c r="AF2" s="290" t="s">
        <v>393</v>
      </c>
    </row>
    <row r="3" spans="2:32" s="22" customFormat="1" ht="7.5" customHeight="1">
      <c r="B3" s="10"/>
      <c r="D3" s="75"/>
      <c r="E3" s="75"/>
      <c r="F3" s="75"/>
      <c r="G3" s="75"/>
      <c r="H3" s="75"/>
      <c r="I3" s="75"/>
      <c r="J3" s="75"/>
      <c r="K3" s="75"/>
      <c r="L3" s="75"/>
      <c r="M3" s="75"/>
      <c r="N3" s="75"/>
      <c r="O3" s="75"/>
      <c r="P3" s="75"/>
      <c r="Q3" s="75"/>
      <c r="R3" s="75"/>
      <c r="S3" s="75"/>
      <c r="T3" s="75"/>
      <c r="U3" s="75"/>
      <c r="V3" s="75"/>
      <c r="W3" s="75"/>
      <c r="X3" s="75"/>
      <c r="Y3" s="75"/>
      <c r="Z3" s="119"/>
      <c r="AA3" s="75"/>
      <c r="AB3" s="75"/>
      <c r="AC3" s="75"/>
      <c r="AD3" s="75"/>
      <c r="AE3" s="119"/>
      <c r="AF3" s="75"/>
    </row>
    <row r="4" spans="1:32" s="18" customFormat="1" ht="15">
      <c r="A4" s="40" t="s">
        <v>318</v>
      </c>
      <c r="D4" s="17"/>
      <c r="E4" s="17"/>
      <c r="F4" s="17"/>
      <c r="G4" s="17"/>
      <c r="H4" s="17"/>
      <c r="I4" s="17"/>
      <c r="J4" s="17"/>
      <c r="K4" s="17"/>
      <c r="L4" s="17"/>
      <c r="M4" s="17"/>
      <c r="N4" s="17"/>
      <c r="O4" s="17"/>
      <c r="P4" s="17"/>
      <c r="Q4" s="17"/>
      <c r="R4" s="17"/>
      <c r="S4" s="17"/>
      <c r="T4" s="17"/>
      <c r="U4" s="17"/>
      <c r="V4" s="17"/>
      <c r="W4" s="17"/>
      <c r="X4" s="17"/>
      <c r="Y4" s="17"/>
      <c r="Z4" s="365"/>
      <c r="AA4" s="17"/>
      <c r="AB4" s="17"/>
      <c r="AC4" s="17"/>
      <c r="AD4" s="17"/>
      <c r="AE4" s="141"/>
      <c r="AF4" s="17"/>
    </row>
    <row r="5" spans="2:32" s="50" customFormat="1" ht="14.25">
      <c r="B5" s="50" t="s">
        <v>146</v>
      </c>
      <c r="D5" s="86">
        <v>1.14</v>
      </c>
      <c r="E5" s="86">
        <v>0.91</v>
      </c>
      <c r="F5" s="86">
        <v>1.15</v>
      </c>
      <c r="G5" s="86">
        <v>1.3</v>
      </c>
      <c r="H5" s="128">
        <v>1.39</v>
      </c>
      <c r="I5" s="86"/>
      <c r="J5" s="86">
        <v>0.85</v>
      </c>
      <c r="K5" s="86">
        <v>0.96</v>
      </c>
      <c r="L5" s="86">
        <v>0.98</v>
      </c>
      <c r="M5" s="86">
        <v>0.85</v>
      </c>
      <c r="N5" s="86">
        <v>0.92</v>
      </c>
      <c r="O5" s="86">
        <v>1.25</v>
      </c>
      <c r="P5" s="86">
        <v>1.25</v>
      </c>
      <c r="Q5" s="86">
        <v>1.16</v>
      </c>
      <c r="R5" s="86">
        <v>1.41</v>
      </c>
      <c r="S5" s="128">
        <v>1.26</v>
      </c>
      <c r="T5" s="128">
        <v>1.28</v>
      </c>
      <c r="U5" s="128">
        <v>1.23</v>
      </c>
      <c r="V5" s="128">
        <v>1.58</v>
      </c>
      <c r="W5" s="128">
        <v>1.34</v>
      </c>
      <c r="X5" s="128">
        <v>1.4</v>
      </c>
      <c r="Y5" s="128">
        <v>1.24</v>
      </c>
      <c r="Z5" s="453">
        <v>1.58</v>
      </c>
      <c r="AA5" s="121">
        <f>IF(AND(Z5=0,Y5=0),0,IF(OR(AND(Z5&gt;0,Y5&lt;=0),AND(Z5&lt;0,Y5&gt;=0)),"nm",IF(AND(Z5&lt;0,Y5&lt;0),IF(-(Z5/Y5-1)*100&lt;-100,"(&gt;100)",-(Z5/Y5-1)*100),IF((Z5/Y5-1)*100&gt;100,"&gt;100",(Z5/Y5-1)*100))))</f>
        <v>27.419354838709676</v>
      </c>
      <c r="AB5" s="121">
        <f>IF(AND(Z5=0,V5=0),0,IF(OR(AND(Z5&gt;0,V5&lt;=0),AND(Z5&lt;0,V5&gt;=0)),"nm",IF(AND(Z5&lt;0,V5&lt;0),IF(-(Z5/V5-1)*100&lt;-100,"(&gt;100)",-(Z5/V5-1)*100),IF((Z5/V5-1)*100&gt;100,"&gt;100",(Z5/V5-1)*100))))</f>
        <v>0</v>
      </c>
      <c r="AC5" s="128"/>
      <c r="AD5" s="128">
        <v>1.3</v>
      </c>
      <c r="AE5" s="453">
        <v>1.39</v>
      </c>
      <c r="AF5" s="121">
        <f>IF(AND(AE5=0,AD5=0),0,IF(OR(AND(AE5&gt;0,AD5&lt;=0),AND(AE5&lt;0,AD5&gt;=0)),"nm",IF(AND(AE5&lt;0,AD5&lt;0),IF(-(AE5/AD5-1)*100&lt;-100,"(&gt;100)",-(AE5/AD5-1)*100),IF((AE5/AD5-1)*100&gt;100,"&gt;100",(AE5/AD5-1)*100))))</f>
        <v>6.923076923076921</v>
      </c>
    </row>
    <row r="6" spans="2:32" s="50" customFormat="1" ht="14.25">
      <c r="B6" s="50" t="s">
        <v>147</v>
      </c>
      <c r="D6" s="86">
        <v>1.07</v>
      </c>
      <c r="E6" s="86">
        <v>0.9</v>
      </c>
      <c r="F6" s="86">
        <v>0.7</v>
      </c>
      <c r="G6" s="86">
        <v>1.3</v>
      </c>
      <c r="H6" s="128">
        <v>1.57</v>
      </c>
      <c r="I6" s="86"/>
      <c r="J6" s="86">
        <v>0.84</v>
      </c>
      <c r="K6" s="86">
        <v>0.96</v>
      </c>
      <c r="L6" s="86">
        <v>0.98</v>
      </c>
      <c r="M6" s="86">
        <v>0.85</v>
      </c>
      <c r="N6" s="86">
        <v>0.92</v>
      </c>
      <c r="O6" s="86">
        <v>0.8</v>
      </c>
      <c r="P6" s="86">
        <v>1.25</v>
      </c>
      <c r="Q6" s="86">
        <v>1.16</v>
      </c>
      <c r="R6" s="86">
        <v>1.41</v>
      </c>
      <c r="S6" s="128">
        <v>1.26</v>
      </c>
      <c r="T6" s="128">
        <v>1.28</v>
      </c>
      <c r="U6" s="128">
        <v>1.23</v>
      </c>
      <c r="V6" s="128">
        <v>1.58</v>
      </c>
      <c r="W6" s="128">
        <v>1.34</v>
      </c>
      <c r="X6" s="128">
        <v>1.4</v>
      </c>
      <c r="Y6" s="128">
        <v>1.42</v>
      </c>
      <c r="Z6" s="453">
        <v>1.58</v>
      </c>
      <c r="AA6" s="121">
        <f>IF(AND(Z6=0,Y6=0),0,IF(OR(AND(Z6&gt;0,Y6&lt;=0),AND(Z6&lt;0,Y6&gt;=0)),"nm",IF(AND(Z6&lt;0,Y6&lt;0),IF(-(Z6/Y6-1)*100&lt;-100,"(&gt;100)",-(Z6/Y6-1)*100),IF((Z6/Y6-1)*100&gt;100,"&gt;100",(Z6/Y6-1)*100))))</f>
        <v>11.267605633802823</v>
      </c>
      <c r="AB6" s="121">
        <f>IF(AND(Z6=0,V6=0),0,IF(OR(AND(Z6&gt;0,V6&lt;=0),AND(Z6&lt;0,V6&gt;=0)),"nm",IF(AND(Z6&lt;0,V6&lt;0),IF(-(Z6/V6-1)*100&lt;-100,"(&gt;100)",-(Z6/V6-1)*100),IF((Z6/V6-1)*100&gt;100,"&gt;100",(Z6/V6-1)*100))))</f>
        <v>0</v>
      </c>
      <c r="AC6" s="128"/>
      <c r="AD6" s="128">
        <v>1.3</v>
      </c>
      <c r="AE6" s="453">
        <v>1.57</v>
      </c>
      <c r="AF6" s="121">
        <f>IF(AND(AE6=0,AD6=0),0,IF(OR(AND(AE6&gt;0,AD6&lt;=0),AND(AE6&lt;0,AD6&gt;=0)),"nm",IF(AND(AE6&lt;0,AD6&lt;0),IF(-(AE6/AD6-1)*100&lt;-100,"(&gt;100)",-(AE6/AD6-1)*100),IF((AE6/AD6-1)*100&gt;100,"&gt;100",(AE6/AD6-1)*100))))</f>
        <v>20.769230769230763</v>
      </c>
    </row>
    <row r="7" spans="2:32" s="325" customFormat="1" ht="14.25">
      <c r="B7" s="325" t="s">
        <v>52</v>
      </c>
      <c r="D7" s="128">
        <v>10.25</v>
      </c>
      <c r="E7" s="128">
        <v>10.85</v>
      </c>
      <c r="F7" s="128">
        <v>11.25</v>
      </c>
      <c r="G7" s="128">
        <v>11.77</v>
      </c>
      <c r="H7" s="128">
        <v>12.96</v>
      </c>
      <c r="I7" s="128"/>
      <c r="J7" s="128">
        <v>10.27</v>
      </c>
      <c r="K7" s="128">
        <v>10.45</v>
      </c>
      <c r="L7" s="128">
        <v>10.76</v>
      </c>
      <c r="M7" s="128">
        <v>10.85</v>
      </c>
      <c r="N7" s="128">
        <v>11.2</v>
      </c>
      <c r="O7" s="128">
        <v>10.88</v>
      </c>
      <c r="P7" s="128">
        <v>11.18</v>
      </c>
      <c r="Q7" s="128">
        <v>11.25</v>
      </c>
      <c r="R7" s="128">
        <v>11.61</v>
      </c>
      <c r="S7" s="128">
        <v>11.69</v>
      </c>
      <c r="T7" s="128">
        <v>11.77</v>
      </c>
      <c r="U7" s="128">
        <v>11.99</v>
      </c>
      <c r="V7" s="128">
        <v>12.28</v>
      </c>
      <c r="W7" s="128">
        <v>12.36</v>
      </c>
      <c r="X7" s="128">
        <v>12.5</v>
      </c>
      <c r="Y7" s="128">
        <v>12.96</v>
      </c>
      <c r="Z7" s="453">
        <v>13.35</v>
      </c>
      <c r="AA7" s="121">
        <f>IF(AND(Z7=0,Y7=0),0,IF(OR(AND(Z7&gt;0,Y7&lt;=0),AND(Z7&lt;0,Y7&gt;=0)),"nm",IF(AND(Z7&lt;0,Y7&lt;0),IF(-(Z7/Y7-1)*100&lt;-100,"(&gt;100)",-(Z7/Y7-1)*100),IF((Z7/Y7-1)*100&gt;100,"&gt;100",(Z7/Y7-1)*100))))</f>
        <v>3.009259259259256</v>
      </c>
      <c r="AB7" s="121">
        <f>IF(AND(Z7=0,V7=0),0,IF(OR(AND(Z7&gt;0,V7&lt;=0),AND(Z7&lt;0,V7&gt;=0)),"nm",IF(AND(Z7&lt;0,V7&lt;0),IF(-(Z7/V7-1)*100&lt;-100,"(&gt;100)",-(Z7/V7-1)*100),IF((Z7/V7-1)*100&gt;100,"&gt;100",(Z7/V7-1)*100))))</f>
        <v>8.713355048859928</v>
      </c>
      <c r="AC7" s="128"/>
      <c r="AD7" s="128">
        <v>11.99</v>
      </c>
      <c r="AE7" s="453">
        <v>12.96</v>
      </c>
      <c r="AF7" s="121">
        <f>IF(AND(AE7=0,AD7=0),0,IF(OR(AND(AE7&gt;0,AD7&lt;=0),AND(AE7&lt;0,AD7&gt;=0)),"nm",IF(AND(AE7&lt;0,AD7&lt;0),IF(-(AE7/AD7-1)*100&lt;-100,"(&gt;100)",-(AE7/AD7-1)*100),IF((AE7/AD7-1)*100&gt;100,"&gt;100",(AE7/AD7-1)*100))))</f>
        <v>8.090075062552128</v>
      </c>
    </row>
    <row r="8" spans="2:35" s="50" customFormat="1" ht="14.25">
      <c r="B8" s="50" t="s">
        <v>59</v>
      </c>
      <c r="D8" s="86">
        <v>0.65</v>
      </c>
      <c r="E8" s="86">
        <v>0.56</v>
      </c>
      <c r="F8" s="86">
        <v>0.56</v>
      </c>
      <c r="G8" s="86">
        <v>0.56</v>
      </c>
      <c r="H8" s="128">
        <v>0.28</v>
      </c>
      <c r="I8" s="86"/>
      <c r="J8" s="86">
        <v>0.14</v>
      </c>
      <c r="K8" s="86">
        <v>0.14</v>
      </c>
      <c r="L8" s="86">
        <v>0.14</v>
      </c>
      <c r="M8" s="86">
        <v>0.14</v>
      </c>
      <c r="N8" s="86">
        <v>0.14</v>
      </c>
      <c r="O8" s="86">
        <v>0.14</v>
      </c>
      <c r="P8" s="86">
        <v>0</v>
      </c>
      <c r="Q8" s="86">
        <v>0.28</v>
      </c>
      <c r="R8" s="86">
        <v>0</v>
      </c>
      <c r="S8" s="128">
        <v>0.28</v>
      </c>
      <c r="T8" s="128">
        <v>0</v>
      </c>
      <c r="U8" s="128">
        <v>0.28</v>
      </c>
      <c r="V8" s="128">
        <v>0</v>
      </c>
      <c r="W8" s="128">
        <v>0.28</v>
      </c>
      <c r="X8" s="128">
        <v>0</v>
      </c>
      <c r="Y8" s="128">
        <v>0.28</v>
      </c>
      <c r="Z8" s="453">
        <v>0</v>
      </c>
      <c r="AA8" s="121">
        <f>IF(AND(Z8=0,Y8=0),0,IF(OR(AND(Z8&gt;0,Y8&lt;=0),AND(Z8&lt;0,Y8&gt;=0)),"nm",IF(AND(Z8&lt;0,Y8&lt;0),IF(-(Z8/Y8-1)*100&lt;-100,"(&gt;100)",-(Z8/Y8-1)*100),IF((Z8/Y8-1)*100&gt;100,"&gt;100",(Z8/Y8-1)*100))))</f>
        <v>-100</v>
      </c>
      <c r="AB8" s="121">
        <f>IF(AND(Z8=0,V8=0),0,IF(OR(AND(Z8&gt;0,V8&lt;=0),AND(Z8&lt;0,V8&gt;=0)),"nm",IF(AND(Z8&lt;0,V8&lt;0),IF(-(Z8/V8-1)*100&lt;-100,"(&gt;100)",-(Z8/V8-1)*100),IF((Z8/V8-1)*100&gt;100,"&gt;100",(Z8/V8-1)*100))))</f>
        <v>0</v>
      </c>
      <c r="AC8" s="128"/>
      <c r="AD8" s="128">
        <v>0.56</v>
      </c>
      <c r="AE8" s="453">
        <v>0.28</v>
      </c>
      <c r="AF8" s="121">
        <f>IF(AND(AE8=0,AD8=0),0,IF(OR(AND(AE8&gt;0,AD8&lt;=0),AND(AE8&lt;0,AD8&gt;=0)),"nm",IF(AND(AE8&lt;0,AD8&lt;0),IF(-(AE8/AD8-1)*100&lt;-100,"(&gt;100)",-(AE8/AD8-1)*100),IF((AE8/AD8-1)*100&gt;100,"&gt;100",(AE8/AD8-1)*100))))</f>
        <v>-50</v>
      </c>
      <c r="AG8" s="325"/>
      <c r="AH8" s="325"/>
      <c r="AI8" s="325"/>
    </row>
    <row r="9" spans="4:32" s="50" customFormat="1" ht="14.25">
      <c r="D9" s="86"/>
      <c r="E9" s="86"/>
      <c r="F9" s="86"/>
      <c r="G9" s="86"/>
      <c r="H9" s="128"/>
      <c r="I9" s="86"/>
      <c r="J9" s="86"/>
      <c r="K9" s="86"/>
      <c r="L9" s="86"/>
      <c r="M9" s="86"/>
      <c r="N9" s="86"/>
      <c r="O9" s="86"/>
      <c r="P9" s="86"/>
      <c r="Q9" s="86"/>
      <c r="R9" s="86"/>
      <c r="S9" s="128"/>
      <c r="T9" s="128"/>
      <c r="U9" s="128"/>
      <c r="V9" s="128"/>
      <c r="W9" s="128"/>
      <c r="X9" s="128"/>
      <c r="Y9" s="128"/>
      <c r="Z9" s="475"/>
      <c r="AA9" s="121"/>
      <c r="AB9" s="121"/>
      <c r="AC9" s="128"/>
      <c r="AD9" s="128"/>
      <c r="AE9" s="417"/>
      <c r="AF9" s="121"/>
    </row>
    <row r="10" spans="1:34" s="53" customFormat="1" ht="15">
      <c r="A10" s="52" t="s">
        <v>319</v>
      </c>
      <c r="D10" s="55"/>
      <c r="E10" s="55"/>
      <c r="F10" s="55"/>
      <c r="G10" s="55"/>
      <c r="H10" s="55"/>
      <c r="I10" s="55"/>
      <c r="J10" s="55"/>
      <c r="K10" s="55"/>
      <c r="L10" s="55"/>
      <c r="M10" s="55"/>
      <c r="N10" s="55"/>
      <c r="O10" s="55"/>
      <c r="P10" s="55"/>
      <c r="Q10" s="55"/>
      <c r="R10" s="55"/>
      <c r="S10" s="55"/>
      <c r="T10" s="55"/>
      <c r="U10" s="55"/>
      <c r="V10" s="55"/>
      <c r="W10" s="55"/>
      <c r="X10" s="55"/>
      <c r="Y10" s="55"/>
      <c r="Z10" s="476"/>
      <c r="AA10" s="17"/>
      <c r="AB10" s="17"/>
      <c r="AC10" s="55"/>
      <c r="AD10" s="55"/>
      <c r="AE10" s="418"/>
      <c r="AF10" s="17"/>
      <c r="AH10" s="50"/>
    </row>
    <row r="11" spans="2:38" s="50" customFormat="1" ht="14.25">
      <c r="B11" s="50" t="s">
        <v>146</v>
      </c>
      <c r="C11" s="325"/>
      <c r="D11" s="128">
        <v>1.1</v>
      </c>
      <c r="E11" s="128">
        <v>0.88</v>
      </c>
      <c r="F11" s="128">
        <v>1.11</v>
      </c>
      <c r="G11" s="128">
        <v>1.26</v>
      </c>
      <c r="H11" s="128">
        <v>1.37</v>
      </c>
      <c r="I11" s="128"/>
      <c r="J11" s="128">
        <v>0.83</v>
      </c>
      <c r="K11" s="128">
        <v>0.93</v>
      </c>
      <c r="L11" s="128">
        <v>0.95</v>
      </c>
      <c r="M11" s="128">
        <v>0.83</v>
      </c>
      <c r="N11" s="128">
        <v>0.89</v>
      </c>
      <c r="O11" s="128">
        <v>1.2</v>
      </c>
      <c r="P11" s="128">
        <v>1.2</v>
      </c>
      <c r="Q11" s="128">
        <v>1.13</v>
      </c>
      <c r="R11" s="128">
        <v>1.36</v>
      </c>
      <c r="S11" s="128">
        <v>1.21</v>
      </c>
      <c r="T11" s="128">
        <v>1.24</v>
      </c>
      <c r="U11" s="128">
        <v>1.19</v>
      </c>
      <c r="V11" s="128">
        <v>1.56</v>
      </c>
      <c r="W11" s="128">
        <v>1.33</v>
      </c>
      <c r="X11" s="128">
        <v>1.38</v>
      </c>
      <c r="Y11" s="128">
        <v>1.22</v>
      </c>
      <c r="Z11" s="453">
        <v>1.56</v>
      </c>
      <c r="AA11" s="121">
        <f>IF(AND(Z11=0,Y11=0),0,IF(OR(AND(Z11&gt;0,Y11&lt;=0),AND(Z11&lt;0,Y11&gt;=0)),"nm",IF(AND(Z11&lt;0,Y11&lt;0),IF(-(Z11/Y11-1)*100&lt;-100,"(&gt;100)",-(Z11/Y11-1)*100),IF((Z11/Y11-1)*100&gt;100,"&gt;100",(Z11/Y11-1)*100))))</f>
        <v>27.868852459016402</v>
      </c>
      <c r="AB11" s="121">
        <f>IF(AND(Z11=0,V11=0),0,IF(OR(AND(Z11&gt;0,V11&lt;=0),AND(Z11&lt;0,V11&gt;=0)),"nm",IF(AND(Z11&lt;0,V11&lt;0),IF(-(Z11/V11-1)*100&lt;-100,"(&gt;100)",-(Z11/V11-1)*100),IF((Z11/V11-1)*100&gt;100,"&gt;100",(Z11/V11-1)*100))))</f>
        <v>0</v>
      </c>
      <c r="AC11" s="128"/>
      <c r="AD11" s="128">
        <v>1.26</v>
      </c>
      <c r="AE11" s="453">
        <v>1.37</v>
      </c>
      <c r="AF11" s="121">
        <f>IF(AND(AE11=0,AD11=0),0,IF(OR(AND(AE11&gt;0,AD11&lt;=0),AND(AE11&lt;0,AD11&gt;=0)),"nm",IF(AND(AE11&lt;0,AD11&lt;0),IF(-(AE11/AD11-1)*100&lt;-100,"(&gt;100)",-(AE11/AD11-1)*100),IF((AE11/AD11-1)*100&gt;100,"&gt;100",(AE11/AD11-1)*100))))</f>
        <v>8.730158730158744</v>
      </c>
      <c r="AG11" s="325"/>
      <c r="AH11" s="325"/>
      <c r="AI11" s="325"/>
      <c r="AJ11" s="325"/>
      <c r="AK11" s="325"/>
      <c r="AL11" s="325"/>
    </row>
    <row r="12" spans="2:38" s="50" customFormat="1" ht="14.25">
      <c r="B12" s="50" t="s">
        <v>147</v>
      </c>
      <c r="C12" s="325"/>
      <c r="D12" s="128">
        <v>1.04</v>
      </c>
      <c r="E12" s="128">
        <v>0.87</v>
      </c>
      <c r="F12" s="128">
        <v>0.68</v>
      </c>
      <c r="G12" s="128">
        <v>1.26</v>
      </c>
      <c r="H12" s="128">
        <v>1.56</v>
      </c>
      <c r="I12" s="128"/>
      <c r="J12" s="128">
        <v>0.82</v>
      </c>
      <c r="K12" s="128">
        <v>0.93</v>
      </c>
      <c r="L12" s="128">
        <v>0.95</v>
      </c>
      <c r="M12" s="128">
        <v>0.83</v>
      </c>
      <c r="N12" s="128">
        <v>0.89</v>
      </c>
      <c r="O12" s="128">
        <v>0.78</v>
      </c>
      <c r="P12" s="128">
        <v>1.2</v>
      </c>
      <c r="Q12" s="128">
        <v>1.13</v>
      </c>
      <c r="R12" s="128">
        <v>1.36</v>
      </c>
      <c r="S12" s="128">
        <v>1.21</v>
      </c>
      <c r="T12" s="128">
        <v>1.24</v>
      </c>
      <c r="U12" s="128">
        <v>1.19</v>
      </c>
      <c r="V12" s="128">
        <v>1.56</v>
      </c>
      <c r="W12" s="128">
        <v>1.33</v>
      </c>
      <c r="X12" s="128">
        <v>1.38</v>
      </c>
      <c r="Y12" s="128">
        <v>1.41</v>
      </c>
      <c r="Z12" s="453">
        <v>1.56</v>
      </c>
      <c r="AA12" s="121">
        <f>IF(AND(Z12=0,Y12=0),0,IF(OR(AND(Z12&gt;0,Y12&lt;=0),AND(Z12&lt;0,Y12&gt;=0)),"nm",IF(AND(Z12&lt;0,Y12&lt;0),IF(-(Z12/Y12-1)*100&lt;-100,"(&gt;100)",-(Z12/Y12-1)*100),IF((Z12/Y12-1)*100&gt;100,"&gt;100",(Z12/Y12-1)*100))))</f>
        <v>10.63829787234043</v>
      </c>
      <c r="AB12" s="121">
        <f>IF(AND(Z12=0,V12=0),0,IF(OR(AND(Z12&gt;0,V12&lt;=0),AND(Z12&lt;0,V12&gt;=0)),"nm",IF(AND(Z12&lt;0,V12&lt;0),IF(-(Z12/V12-1)*100&lt;-100,"(&gt;100)",-(Z12/V12-1)*100),IF((Z12/V12-1)*100&gt;100,"&gt;100",(Z12/V12-1)*100))))</f>
        <v>0</v>
      </c>
      <c r="AC12" s="128"/>
      <c r="AD12" s="128">
        <v>1.26</v>
      </c>
      <c r="AE12" s="453">
        <v>1.56</v>
      </c>
      <c r="AF12" s="121">
        <f>IF(AND(AE12=0,AD12=0),0,IF(OR(AND(AE12&gt;0,AD12&lt;=0),AND(AE12&lt;0,AD12&gt;=0)),"nm",IF(AND(AE12&lt;0,AD12&lt;0),IF(-(AE12/AD12-1)*100&lt;-100,"(&gt;100)",-(AE12/AD12-1)*100),IF((AE12/AD12-1)*100&gt;100,"&gt;100",(AE12/AD12-1)*100))))</f>
        <v>23.809523809523814</v>
      </c>
      <c r="AG12" s="325"/>
      <c r="AH12" s="325"/>
      <c r="AI12" s="325"/>
      <c r="AJ12" s="325"/>
      <c r="AK12" s="325"/>
      <c r="AL12" s="325"/>
    </row>
    <row r="13" spans="2:32" s="325" customFormat="1" ht="14.25">
      <c r="B13" s="325" t="s">
        <v>52</v>
      </c>
      <c r="D13" s="128">
        <v>10.14</v>
      </c>
      <c r="E13" s="128">
        <v>10.65</v>
      </c>
      <c r="F13" s="128">
        <v>11.04</v>
      </c>
      <c r="G13" s="128">
        <v>11.75</v>
      </c>
      <c r="H13" s="128">
        <v>12.86</v>
      </c>
      <c r="I13" s="128"/>
      <c r="J13" s="128">
        <v>10.1</v>
      </c>
      <c r="K13" s="128">
        <v>10.27</v>
      </c>
      <c r="L13" s="128">
        <v>10.57</v>
      </c>
      <c r="M13" s="128">
        <v>10.65</v>
      </c>
      <c r="N13" s="128">
        <v>10.99</v>
      </c>
      <c r="O13" s="128">
        <v>10.68</v>
      </c>
      <c r="P13" s="128">
        <v>10.97</v>
      </c>
      <c r="Q13" s="128">
        <v>11.04</v>
      </c>
      <c r="R13" s="128">
        <v>11.39</v>
      </c>
      <c r="S13" s="128">
        <v>11.47</v>
      </c>
      <c r="T13" s="128">
        <v>11.54</v>
      </c>
      <c r="U13" s="128">
        <v>11.75</v>
      </c>
      <c r="V13" s="128">
        <v>12.19</v>
      </c>
      <c r="W13" s="128">
        <v>12.27</v>
      </c>
      <c r="X13" s="128">
        <v>12.41</v>
      </c>
      <c r="Y13" s="128">
        <v>12.86</v>
      </c>
      <c r="Z13" s="453">
        <v>13.25</v>
      </c>
      <c r="AA13" s="121">
        <f>IF(AND(Z13=0,Y13=0),0,IF(OR(AND(Z13&gt;0,Y13&lt;=0),AND(Z13&lt;0,Y13&gt;=0)),"nm",IF(AND(Z13&lt;0,Y13&lt;0),IF(-(Z13/Y13-1)*100&lt;-100,"(&gt;100)",-(Z13/Y13-1)*100),IF((Z13/Y13-1)*100&gt;100,"&gt;100",(Z13/Y13-1)*100))))</f>
        <v>3.032659409020222</v>
      </c>
      <c r="AB13" s="121">
        <f>IF(AND(Z13=0,V13=0),0,IF(OR(AND(Z13&gt;0,V13&lt;=0),AND(Z13&lt;0,V13&gt;=0)),"nm",IF(AND(Z13&lt;0,V13&lt;0),IF(-(Z13/V13-1)*100&lt;-100,"(&gt;100)",-(Z13/V13-1)*100),IF((Z13/V13-1)*100&gt;100,"&gt;100",(Z13/V13-1)*100))))</f>
        <v>8.695652173913038</v>
      </c>
      <c r="AC13" s="128"/>
      <c r="AD13" s="128">
        <v>11.75</v>
      </c>
      <c r="AE13" s="453">
        <v>12.86</v>
      </c>
      <c r="AF13" s="121">
        <f>IF(AND(AE13=0,AD13=0),0,IF(OR(AND(AE13&gt;0,AD13&lt;=0),AND(AE13&lt;0,AD13&gt;=0)),"nm",IF(AND(AE13&lt;0,AD13&lt;0),IF(-(AE13/AD13-1)*100&lt;-100,"(&gt;100)",-(AE13/AD13-1)*100),IF((AE13/AD13-1)*100&gt;100,"&gt;100",(AE13/AD13-1)*100))))</f>
        <v>9.446808510638283</v>
      </c>
    </row>
    <row r="14" spans="2:38" s="22" customFormat="1" ht="14.25">
      <c r="B14" s="35"/>
      <c r="C14" s="20"/>
      <c r="D14" s="121"/>
      <c r="E14" s="121"/>
      <c r="F14" s="121"/>
      <c r="G14" s="121"/>
      <c r="H14" s="121"/>
      <c r="I14" s="121"/>
      <c r="J14" s="121"/>
      <c r="K14" s="121"/>
      <c r="L14" s="121"/>
      <c r="M14" s="121"/>
      <c r="N14" s="121"/>
      <c r="O14" s="121"/>
      <c r="P14" s="121"/>
      <c r="Q14" s="121"/>
      <c r="R14" s="121"/>
      <c r="S14" s="121"/>
      <c r="T14" s="121"/>
      <c r="U14" s="121"/>
      <c r="V14" s="121"/>
      <c r="W14" s="121"/>
      <c r="X14" s="121"/>
      <c r="Y14" s="121"/>
      <c r="Z14" s="477"/>
      <c r="AA14" s="121"/>
      <c r="AB14" s="121"/>
      <c r="AC14" s="121"/>
      <c r="AD14" s="121"/>
      <c r="AE14" s="142"/>
      <c r="AF14" s="121"/>
      <c r="AG14" s="20"/>
      <c r="AH14" s="325"/>
      <c r="AI14" s="20"/>
      <c r="AJ14" s="20"/>
      <c r="AK14" s="20"/>
      <c r="AL14" s="20"/>
    </row>
    <row r="15" spans="1:38" s="22" customFormat="1" ht="15">
      <c r="A15" s="46" t="s">
        <v>316</v>
      </c>
      <c r="B15" s="35"/>
      <c r="C15" s="20"/>
      <c r="D15" s="121"/>
      <c r="E15" s="121"/>
      <c r="F15" s="121"/>
      <c r="G15" s="121"/>
      <c r="H15" s="121"/>
      <c r="I15" s="121"/>
      <c r="J15" s="121"/>
      <c r="K15" s="121"/>
      <c r="L15" s="121"/>
      <c r="M15" s="121"/>
      <c r="N15" s="121"/>
      <c r="O15" s="121"/>
      <c r="P15" s="121"/>
      <c r="Q15" s="121"/>
      <c r="R15" s="121"/>
      <c r="S15" s="121"/>
      <c r="T15" s="121"/>
      <c r="U15" s="121"/>
      <c r="V15" s="121"/>
      <c r="W15" s="121"/>
      <c r="X15" s="121"/>
      <c r="Y15" s="121"/>
      <c r="Z15" s="475"/>
      <c r="AA15" s="19"/>
      <c r="AB15" s="19"/>
      <c r="AC15" s="121"/>
      <c r="AD15" s="121"/>
      <c r="AE15" s="142"/>
      <c r="AF15" s="19"/>
      <c r="AG15" s="20"/>
      <c r="AH15" s="325"/>
      <c r="AI15" s="20"/>
      <c r="AJ15" s="20"/>
      <c r="AK15" s="20"/>
      <c r="AL15" s="20"/>
    </row>
    <row r="16" spans="2:34" s="18" customFormat="1" ht="15">
      <c r="B16" s="49" t="s">
        <v>320</v>
      </c>
      <c r="D16" s="17"/>
      <c r="E16" s="17"/>
      <c r="F16" s="17"/>
      <c r="G16" s="17"/>
      <c r="H16" s="17"/>
      <c r="I16" s="17"/>
      <c r="J16" s="17"/>
      <c r="K16" s="17"/>
      <c r="L16" s="17"/>
      <c r="M16" s="17"/>
      <c r="N16" s="17"/>
      <c r="O16" s="17"/>
      <c r="P16" s="17"/>
      <c r="Q16" s="17"/>
      <c r="R16" s="17"/>
      <c r="S16" s="17"/>
      <c r="T16" s="17"/>
      <c r="U16" s="17"/>
      <c r="V16" s="17"/>
      <c r="W16" s="17"/>
      <c r="X16" s="17"/>
      <c r="Y16" s="17"/>
      <c r="Z16" s="478"/>
      <c r="AA16" s="17"/>
      <c r="AB16" s="17"/>
      <c r="AC16" s="17"/>
      <c r="AD16" s="17"/>
      <c r="AE16" s="144"/>
      <c r="AF16" s="17"/>
      <c r="AH16" s="325"/>
    </row>
    <row r="17" spans="3:38" s="22" customFormat="1" ht="14.25">
      <c r="C17" s="20" t="s">
        <v>54</v>
      </c>
      <c r="D17" s="121">
        <v>2056</v>
      </c>
      <c r="E17" s="121">
        <v>2064</v>
      </c>
      <c r="F17" s="121">
        <v>2650</v>
      </c>
      <c r="G17" s="121">
        <v>3035</v>
      </c>
      <c r="H17" s="121">
        <v>3359</v>
      </c>
      <c r="I17" s="121"/>
      <c r="J17" s="121">
        <v>456</v>
      </c>
      <c r="K17" s="121">
        <v>552</v>
      </c>
      <c r="L17" s="121">
        <v>563</v>
      </c>
      <c r="M17" s="121">
        <v>493</v>
      </c>
      <c r="N17" s="121">
        <v>532</v>
      </c>
      <c r="O17" s="121">
        <v>718</v>
      </c>
      <c r="P17" s="121">
        <v>722</v>
      </c>
      <c r="Q17" s="121">
        <v>678</v>
      </c>
      <c r="R17" s="121">
        <v>807</v>
      </c>
      <c r="S17" s="121">
        <v>735</v>
      </c>
      <c r="T17" s="121">
        <v>762</v>
      </c>
      <c r="U17" s="121">
        <v>731</v>
      </c>
      <c r="V17" s="121">
        <v>933</v>
      </c>
      <c r="W17" s="121">
        <v>810</v>
      </c>
      <c r="X17" s="121">
        <v>856</v>
      </c>
      <c r="Y17" s="121">
        <v>760</v>
      </c>
      <c r="Z17" s="122">
        <f>'1.Highlights'!Z13</f>
        <v>950</v>
      </c>
      <c r="AA17" s="121">
        <f>IF(AND(Z17=0,Y17=0),0,IF(OR(AND(Z17&gt;0,Y17&lt;=0),AND(Z17&lt;0,Y17&gt;=0)),"nm",IF(AND(Z17&lt;0,Y17&lt;0),IF(-(Z17/Y17-1)*100&lt;-100,"(&gt;100)",-(Z17/Y17-1)*100),IF((Z17/Y17-1)*100&gt;100,"&gt;100",(Z17/Y17-1)*100))))</f>
        <v>25</v>
      </c>
      <c r="AB17" s="121">
        <f>IF(AND(Z17=0,V17=0),0,IF(OR(AND(Z17&gt;0,V17&lt;=0),AND(Z17&lt;0,V17&gt;=0)),"nm",IF(AND(Z17&lt;0,V17&lt;0),IF(-(Z17/V17-1)*100&lt;-100,"(&gt;100)",-(Z17/V17-1)*100),IF((Z17/V17-1)*100&gt;100,"&gt;100",(Z17/V17-1)*100))))</f>
        <v>1.8220793140407254</v>
      </c>
      <c r="AC17" s="121"/>
      <c r="AD17" s="121">
        <v>3035</v>
      </c>
      <c r="AE17" s="122">
        <f>'1.Highlights'!AE13</f>
        <v>3359</v>
      </c>
      <c r="AF17" s="121">
        <f>IF(AND(AE17=0,AD17=0),0,IF(OR(AND(AE17&gt;0,AD17&lt;=0),AND(AE17&lt;0,AD17&gt;=0)),"nm",IF(AND(AE17&lt;0,AD17&lt;0),IF(-(AE17/AD17-1)*100&lt;-100,"(&gt;100)",-(AE17/AD17-1)*100),IF((AE17/AD17-1)*100&gt;100,"&gt;100",(AE17/AD17-1)*100))))</f>
        <v>10.675453047775951</v>
      </c>
      <c r="AG17" s="20"/>
      <c r="AH17" s="325"/>
      <c r="AI17" s="20"/>
      <c r="AJ17" s="20"/>
      <c r="AK17" s="20"/>
      <c r="AL17" s="20"/>
    </row>
    <row r="18" spans="3:38" s="22" customFormat="1" ht="14.25">
      <c r="C18" s="20" t="s">
        <v>55</v>
      </c>
      <c r="D18" s="121">
        <v>1929</v>
      </c>
      <c r="E18" s="121">
        <v>2041</v>
      </c>
      <c r="F18" s="121">
        <v>1632</v>
      </c>
      <c r="G18" s="121">
        <v>3035</v>
      </c>
      <c r="H18" s="121">
        <v>3809</v>
      </c>
      <c r="I18" s="121"/>
      <c r="J18" s="121">
        <v>433</v>
      </c>
      <c r="K18" s="121">
        <v>552</v>
      </c>
      <c r="L18" s="121">
        <v>563</v>
      </c>
      <c r="M18" s="121">
        <v>493</v>
      </c>
      <c r="N18" s="121">
        <v>532</v>
      </c>
      <c r="O18" s="121">
        <v>-300</v>
      </c>
      <c r="P18" s="121">
        <v>722</v>
      </c>
      <c r="Q18" s="121">
        <v>678</v>
      </c>
      <c r="R18" s="121">
        <v>807</v>
      </c>
      <c r="S18" s="121">
        <v>735</v>
      </c>
      <c r="T18" s="121">
        <v>762</v>
      </c>
      <c r="U18" s="121">
        <v>731</v>
      </c>
      <c r="V18" s="121">
        <v>933</v>
      </c>
      <c r="W18" s="121">
        <v>810</v>
      </c>
      <c r="X18" s="121">
        <v>856</v>
      </c>
      <c r="Y18" s="121">
        <v>1210</v>
      </c>
      <c r="Z18" s="122">
        <f>'1.Highlights'!Z16</f>
        <v>950</v>
      </c>
      <c r="AA18" s="121">
        <f>IF(AND(Z18=0,Y18=0),0,IF(OR(AND(Z18&gt;0,Y18&lt;=0),AND(Z18&lt;0,Y18&gt;=0)),"nm",IF(AND(Z18&lt;0,Y18&lt;0),IF(-(Z18/Y18-1)*100&lt;-100,"(&gt;100)",-(Z18/Y18-1)*100),IF((Z18/Y18-1)*100&gt;100,"&gt;100",(Z18/Y18-1)*100))))</f>
        <v>-21.487603305785118</v>
      </c>
      <c r="AB18" s="121">
        <f>IF(AND(Z18=0,V18=0),0,IF(OR(AND(Z18&gt;0,V18&lt;=0),AND(Z18&lt;0,V18&gt;=0)),"nm",IF(AND(Z18&lt;0,V18&lt;0),IF(-(Z18/V18-1)*100&lt;-100,"(&gt;100)",-(Z18/V18-1)*100),IF((Z18/V18-1)*100&gt;100,"&gt;100",(Z18/V18-1)*100))))</f>
        <v>1.8220793140407254</v>
      </c>
      <c r="AC18" s="121"/>
      <c r="AD18" s="121">
        <v>3035</v>
      </c>
      <c r="AE18" s="122">
        <f>'1.Highlights'!AE16</f>
        <v>3809</v>
      </c>
      <c r="AF18" s="121">
        <f>IF(AND(AE18=0,AD18=0),0,IF(OR(AND(AE18&gt;0,AD18&lt;=0),AND(AE18&lt;0,AD18&gt;=0)),"nm",IF(AND(AE18&lt;0,AD18&lt;0),IF(-(AE18/AD18-1)*100&lt;-100,"(&gt;100)",-(AE18/AD18-1)*100),IF((AE18/AD18-1)*100&gt;100,"&gt;100",(AE18/AD18-1)*100))))</f>
        <v>25.50247116968698</v>
      </c>
      <c r="AG18" s="20"/>
      <c r="AH18" s="325"/>
      <c r="AI18" s="20"/>
      <c r="AJ18" s="20"/>
      <c r="AK18" s="20"/>
      <c r="AL18" s="20"/>
    </row>
    <row r="19" spans="3:38" s="22" customFormat="1" ht="14.25">
      <c r="C19" s="20"/>
      <c r="D19" s="121"/>
      <c r="E19" s="121"/>
      <c r="F19" s="121"/>
      <c r="G19" s="121"/>
      <c r="H19" s="121"/>
      <c r="I19" s="121"/>
      <c r="J19" s="121"/>
      <c r="K19" s="121"/>
      <c r="L19" s="121"/>
      <c r="M19" s="121"/>
      <c r="N19" s="121"/>
      <c r="O19" s="121"/>
      <c r="P19" s="121"/>
      <c r="Q19" s="121"/>
      <c r="R19" s="121"/>
      <c r="S19" s="121"/>
      <c r="T19" s="121"/>
      <c r="U19" s="121"/>
      <c r="V19" s="121"/>
      <c r="W19" s="121"/>
      <c r="X19" s="121"/>
      <c r="Y19" s="121"/>
      <c r="Z19" s="477"/>
      <c r="AA19" s="121"/>
      <c r="AB19" s="121"/>
      <c r="AC19" s="121"/>
      <c r="AD19" s="121"/>
      <c r="AE19" s="142"/>
      <c r="AF19" s="121"/>
      <c r="AG19" s="20"/>
      <c r="AH19" s="325"/>
      <c r="AI19" s="20"/>
      <c r="AJ19" s="20"/>
      <c r="AK19" s="20"/>
      <c r="AL19" s="20"/>
    </row>
    <row r="20" spans="2:38" s="22" customFormat="1" ht="15">
      <c r="B20" s="31" t="s">
        <v>237</v>
      </c>
      <c r="C20" s="20"/>
      <c r="D20" s="121">
        <v>20</v>
      </c>
      <c r="E20" s="121">
        <v>29</v>
      </c>
      <c r="F20" s="121">
        <v>28</v>
      </c>
      <c r="G20" s="121">
        <v>28</v>
      </c>
      <c r="H20" s="121">
        <v>8</v>
      </c>
      <c r="I20" s="121"/>
      <c r="J20" s="121">
        <v>7</v>
      </c>
      <c r="K20" s="121">
        <v>7</v>
      </c>
      <c r="L20" s="121">
        <v>7</v>
      </c>
      <c r="M20" s="121">
        <v>7</v>
      </c>
      <c r="N20" s="121">
        <v>7</v>
      </c>
      <c r="O20" s="121">
        <v>7</v>
      </c>
      <c r="P20" s="121">
        <v>7</v>
      </c>
      <c r="Q20" s="121">
        <v>7</v>
      </c>
      <c r="R20" s="121">
        <v>7</v>
      </c>
      <c r="S20" s="121">
        <v>7</v>
      </c>
      <c r="T20" s="121">
        <v>7</v>
      </c>
      <c r="U20" s="121">
        <v>7</v>
      </c>
      <c r="V20" s="121">
        <v>2</v>
      </c>
      <c r="W20" s="121">
        <v>2</v>
      </c>
      <c r="X20" s="121">
        <v>2</v>
      </c>
      <c r="Y20" s="121">
        <v>2</v>
      </c>
      <c r="Z20" s="122">
        <v>2</v>
      </c>
      <c r="AA20" s="121">
        <f>IF(AND(Z20=0,Y20=0),0,IF(OR(AND(Z20&gt;0,Y20&lt;=0),AND(Z20&lt;0,Y20&gt;=0)),"nm",IF(AND(Z20&lt;0,Y20&lt;0),IF(-(Z20/Y20-1)*100&lt;-100,"(&gt;100)",-(Z20/Y20-1)*100),IF((Z20/Y20-1)*100&gt;100,"&gt;100",(Z20/Y20-1)*100))))</f>
        <v>0</v>
      </c>
      <c r="AB20" s="121">
        <f>IF(AND(Z20=0,V20=0),0,IF(OR(AND(Z20&gt;0,V20&lt;=0),AND(Z20&lt;0,V20&gt;=0)),"nm",IF(AND(Z20&lt;0,V20&lt;0),IF(-(Z20/V20-1)*100&lt;-100,"(&gt;100)",-(Z20/V20-1)*100),IF((Z20/V20-1)*100&gt;100,"&gt;100",(Z20/V20-1)*100))))</f>
        <v>0</v>
      </c>
      <c r="AC20" s="121"/>
      <c r="AD20" s="121">
        <v>28</v>
      </c>
      <c r="AE20" s="122">
        <v>8</v>
      </c>
      <c r="AF20" s="139">
        <f>IF(AND(AE20=0,AD20=0),0,IF(OR(AND(AE20&gt;0,AD20&lt;=0),AND(AE20&lt;0,AD20&gt;=0)),"nm",IF(AND(AE20&lt;0,AD20&lt;0),IF(-(AE20/AD20-1)*100&lt;-100,"(&gt;100)",-(AE20/AD20-1)*100),IF((AE20/AD20-1)*100&gt;100,"&gt;100",(AE20/AD20-1)*100))))</f>
        <v>-71.42857142857143</v>
      </c>
      <c r="AG20" s="20"/>
      <c r="AH20" s="325"/>
      <c r="AI20" s="20"/>
      <c r="AJ20" s="20"/>
      <c r="AK20" s="20"/>
      <c r="AL20" s="20"/>
    </row>
    <row r="21" spans="3:38" s="22" customFormat="1" ht="14.25">
      <c r="C21" s="5"/>
      <c r="D21" s="121"/>
      <c r="E21" s="121"/>
      <c r="F21" s="121"/>
      <c r="G21" s="121"/>
      <c r="H21" s="121"/>
      <c r="I21" s="121"/>
      <c r="J21" s="121"/>
      <c r="K21" s="121"/>
      <c r="L21" s="121"/>
      <c r="M21" s="121"/>
      <c r="N21" s="121"/>
      <c r="O21" s="121"/>
      <c r="P21" s="121"/>
      <c r="Q21" s="121"/>
      <c r="R21" s="121"/>
      <c r="S21" s="121"/>
      <c r="T21" s="121"/>
      <c r="U21" s="121"/>
      <c r="V21" s="121"/>
      <c r="W21" s="121"/>
      <c r="X21" s="121"/>
      <c r="Y21" s="121"/>
      <c r="Z21" s="477"/>
      <c r="AA21" s="121"/>
      <c r="AB21" s="121"/>
      <c r="AC21" s="121"/>
      <c r="AD21" s="121"/>
      <c r="AE21" s="142"/>
      <c r="AF21" s="121"/>
      <c r="AG21" s="20"/>
      <c r="AH21" s="325"/>
      <c r="AI21" s="20"/>
      <c r="AJ21" s="20"/>
      <c r="AK21" s="20"/>
      <c r="AL21" s="20"/>
    </row>
    <row r="22" spans="2:34" s="20" customFormat="1" ht="14.25">
      <c r="B22" s="49" t="s">
        <v>321</v>
      </c>
      <c r="D22" s="121"/>
      <c r="E22" s="121"/>
      <c r="F22" s="121"/>
      <c r="G22" s="121"/>
      <c r="H22" s="121"/>
      <c r="I22" s="121"/>
      <c r="J22" s="121"/>
      <c r="K22" s="121"/>
      <c r="L22" s="121"/>
      <c r="M22" s="121"/>
      <c r="N22" s="121"/>
      <c r="O22" s="121"/>
      <c r="P22" s="121"/>
      <c r="Q22" s="121"/>
      <c r="R22" s="121"/>
      <c r="S22" s="121"/>
      <c r="T22" s="121"/>
      <c r="U22" s="121"/>
      <c r="V22" s="121"/>
      <c r="W22" s="121"/>
      <c r="X22" s="121"/>
      <c r="Y22" s="121"/>
      <c r="Z22" s="477"/>
      <c r="AA22" s="121"/>
      <c r="AB22" s="121"/>
      <c r="AC22" s="121"/>
      <c r="AD22" s="121"/>
      <c r="AE22" s="142"/>
      <c r="AF22" s="121"/>
      <c r="AH22" s="325"/>
    </row>
    <row r="23" spans="2:34" s="20" customFormat="1" ht="15">
      <c r="B23" s="31"/>
      <c r="C23" s="20" t="s">
        <v>191</v>
      </c>
      <c r="D23" s="121">
        <v>1512</v>
      </c>
      <c r="E23" s="121">
        <v>2234</v>
      </c>
      <c r="F23" s="121">
        <v>2287</v>
      </c>
      <c r="G23" s="121">
        <v>2316</v>
      </c>
      <c r="H23" s="121">
        <v>2413</v>
      </c>
      <c r="I23" s="121"/>
      <c r="J23" s="121">
        <v>2105</v>
      </c>
      <c r="K23" s="121">
        <v>2273</v>
      </c>
      <c r="L23" s="121">
        <v>2274</v>
      </c>
      <c r="M23" s="121">
        <v>2274</v>
      </c>
      <c r="N23" s="121">
        <v>2277</v>
      </c>
      <c r="O23" s="121">
        <v>2277</v>
      </c>
      <c r="P23" s="121">
        <v>2292</v>
      </c>
      <c r="Q23" s="121">
        <v>2301</v>
      </c>
      <c r="R23" s="121">
        <v>2306</v>
      </c>
      <c r="S23" s="121">
        <v>2307</v>
      </c>
      <c r="T23" s="121">
        <v>2332</v>
      </c>
      <c r="U23" s="121">
        <v>2339</v>
      </c>
      <c r="V23" s="121">
        <v>2371</v>
      </c>
      <c r="W23" s="121">
        <v>2417</v>
      </c>
      <c r="X23" s="121">
        <v>2429</v>
      </c>
      <c r="Y23" s="121">
        <v>2437</v>
      </c>
      <c r="Z23" s="122">
        <v>2440</v>
      </c>
      <c r="AA23" s="121">
        <f>IF(AND(Z23=0,Y23=0),0,IF(OR(AND(Z23&gt;0,Y23&lt;=0),AND(Z23&lt;0,Y23&gt;=0)),"nm",IF(AND(Z23&lt;0,Y23&lt;0),IF(-(Z23/Y23-1)*100&lt;-100,"(&gt;100)",-(Z23/Y23-1)*100),IF((Z23/Y23-1)*100&gt;100,"&gt;100",(Z23/Y23-1)*100))))</f>
        <v>0.12310217480508978</v>
      </c>
      <c r="AB23" s="121">
        <f>IF(AND(Z23=0,V23=0),0,IF(OR(AND(Z23&gt;0,V23&lt;=0),AND(Z23&lt;0,V23&gt;=0)),"nm",IF(AND(Z23&lt;0,V23&lt;0),IF(-(Z23/V23-1)*100&lt;-100,"(&gt;100)",-(Z23/V23-1)*100),IF((Z23/V23-1)*100&gt;100,"&gt;100",(Z23/V23-1)*100))))</f>
        <v>2.910164487557987</v>
      </c>
      <c r="AC23" s="121"/>
      <c r="AD23" s="121">
        <v>2319</v>
      </c>
      <c r="AE23" s="122">
        <v>2413</v>
      </c>
      <c r="AF23" s="121">
        <f>IF(AND(AE23=0,AD23=0),0,IF(OR(AND(AE23&gt;0,AD23&lt;=0),AND(AE23&lt;0,AD23&gt;=0)),"nm",IF(AND(AE23&lt;0,AD23&lt;0),IF(-(AE23/AD23-1)*100&lt;-100,"(&gt;100)",-(AE23/AD23-1)*100),IF((AE23/AD23-1)*100&gt;100,"&gt;100",(AE23/AD23-1)*100))))</f>
        <v>4.05347132384648</v>
      </c>
      <c r="AH23" s="325"/>
    </row>
    <row r="24" spans="3:34" s="20" customFormat="1" ht="14.25">
      <c r="C24" s="20" t="s">
        <v>192</v>
      </c>
      <c r="D24" s="121">
        <v>1583</v>
      </c>
      <c r="E24" s="121">
        <v>2333</v>
      </c>
      <c r="F24" s="121">
        <v>2388</v>
      </c>
      <c r="G24" s="121">
        <v>2417</v>
      </c>
      <c r="H24" s="121">
        <v>2444</v>
      </c>
      <c r="I24" s="121"/>
      <c r="J24" s="121">
        <v>2204</v>
      </c>
      <c r="K24" s="121">
        <v>2374</v>
      </c>
      <c r="L24" s="121">
        <v>2375</v>
      </c>
      <c r="M24" s="121">
        <v>2376</v>
      </c>
      <c r="N24" s="121">
        <v>2379</v>
      </c>
      <c r="O24" s="121">
        <v>2395</v>
      </c>
      <c r="P24" s="121">
        <v>2403</v>
      </c>
      <c r="Q24" s="121">
        <v>2403</v>
      </c>
      <c r="R24" s="121">
        <v>2407</v>
      </c>
      <c r="S24" s="121">
        <v>2442</v>
      </c>
      <c r="T24" s="121">
        <v>2434</v>
      </c>
      <c r="U24" s="121">
        <v>2439</v>
      </c>
      <c r="V24" s="121">
        <v>2402</v>
      </c>
      <c r="W24" s="121">
        <v>2448</v>
      </c>
      <c r="X24" s="121">
        <v>2460</v>
      </c>
      <c r="Y24" s="121">
        <v>2467</v>
      </c>
      <c r="Z24" s="122">
        <v>2470</v>
      </c>
      <c r="AA24" s="121">
        <f>IF(AND(Z24=0,Y24=0),0,IF(OR(AND(Z24&gt;0,Y24&lt;=0),AND(Z24&lt;0,Y24&gt;=0)),"nm",IF(AND(Z24&lt;0,Y24&lt;0),IF(-(Z24/Y24-1)*100&lt;-100,"(&gt;100)",-(Z24/Y24-1)*100),IF((Z24/Y24-1)*100&gt;100,"&gt;100",(Z24/Y24-1)*100))))</f>
        <v>0.1216051884880498</v>
      </c>
      <c r="AB24" s="121">
        <f>IF(AND(Z24=0,V24=0),0,IF(OR(AND(Z24&gt;0,V24&lt;=0),AND(Z24&lt;0,V24&gt;=0)),"nm",IF(AND(Z24&lt;0,V24&lt;0),IF(-(Z24/V24-1)*100&lt;-100,"(&gt;100)",-(Z24/V24-1)*100),IF((Z24/V24-1)*100&gt;100,"&gt;100",(Z24/V24-1)*100))))</f>
        <v>2.830974188176527</v>
      </c>
      <c r="AC24" s="121"/>
      <c r="AD24" s="121">
        <v>2429</v>
      </c>
      <c r="AE24" s="122">
        <v>2444</v>
      </c>
      <c r="AF24" s="121">
        <f>IF(AND(AE24=0,AD24=0),0,IF(OR(AND(AE24&gt;0,AD24&lt;=0),AND(AE24&lt;0,AD24&gt;=0)),"nm",IF(AND(AE24&lt;0,AD24&lt;0),IF(-(AE24/AD24-1)*100&lt;-100,"(&gt;100)",-(AE24/AD24-1)*100),IF((AE24/AD24-1)*100&gt;100,"&gt;100",(AE24/AD24-1)*100))))</f>
        <v>0.6175380815150344</v>
      </c>
      <c r="AH24" s="325"/>
    </row>
    <row r="25" spans="4:34" s="34" customFormat="1" ht="14.25">
      <c r="D25" s="126"/>
      <c r="E25" s="121"/>
      <c r="F25" s="121"/>
      <c r="G25" s="121"/>
      <c r="H25" s="121"/>
      <c r="I25" s="121"/>
      <c r="J25" s="121"/>
      <c r="K25" s="121"/>
      <c r="L25" s="121"/>
      <c r="M25" s="121"/>
      <c r="N25" s="121"/>
      <c r="O25" s="121"/>
      <c r="P25" s="121"/>
      <c r="Q25" s="121"/>
      <c r="R25" s="121"/>
      <c r="S25" s="121"/>
      <c r="T25" s="121"/>
      <c r="U25" s="121"/>
      <c r="V25" s="121"/>
      <c r="W25" s="121"/>
      <c r="X25" s="121"/>
      <c r="Y25" s="121"/>
      <c r="Z25" s="477"/>
      <c r="AA25" s="121"/>
      <c r="AB25" s="121"/>
      <c r="AC25" s="121"/>
      <c r="AD25" s="121"/>
      <c r="AE25" s="142"/>
      <c r="AF25" s="121"/>
      <c r="AH25" s="325"/>
    </row>
    <row r="26" spans="1:34" s="34" customFormat="1" ht="15">
      <c r="A26" s="46" t="s">
        <v>317</v>
      </c>
      <c r="D26" s="126"/>
      <c r="E26" s="121"/>
      <c r="F26" s="121"/>
      <c r="G26" s="121"/>
      <c r="H26" s="121"/>
      <c r="I26" s="121"/>
      <c r="J26" s="121"/>
      <c r="K26" s="121"/>
      <c r="L26" s="121"/>
      <c r="M26" s="121"/>
      <c r="N26" s="121"/>
      <c r="O26" s="121"/>
      <c r="P26" s="121"/>
      <c r="Q26" s="121"/>
      <c r="R26" s="121"/>
      <c r="S26" s="121"/>
      <c r="T26" s="121"/>
      <c r="U26" s="121"/>
      <c r="V26" s="121"/>
      <c r="W26" s="121"/>
      <c r="X26" s="121"/>
      <c r="Y26" s="121"/>
      <c r="Z26" s="477"/>
      <c r="AA26" s="121"/>
      <c r="AB26" s="121"/>
      <c r="AC26" s="121"/>
      <c r="AD26" s="121"/>
      <c r="AE26" s="142"/>
      <c r="AF26" s="121"/>
      <c r="AH26" s="325"/>
    </row>
    <row r="27" spans="2:38" s="22" customFormat="1" ht="14.25">
      <c r="B27" s="58" t="s">
        <v>58</v>
      </c>
      <c r="C27" s="20"/>
      <c r="D27" s="121"/>
      <c r="E27" s="121"/>
      <c r="F27" s="121"/>
      <c r="G27" s="121"/>
      <c r="H27" s="121"/>
      <c r="I27" s="121"/>
      <c r="J27" s="121"/>
      <c r="K27" s="121"/>
      <c r="L27" s="121"/>
      <c r="M27" s="121"/>
      <c r="N27" s="121"/>
      <c r="O27" s="121"/>
      <c r="P27" s="121"/>
      <c r="Q27" s="121"/>
      <c r="R27" s="121"/>
      <c r="S27" s="121"/>
      <c r="T27" s="121"/>
      <c r="U27" s="121"/>
      <c r="V27" s="121"/>
      <c r="W27" s="121"/>
      <c r="X27" s="121"/>
      <c r="Y27" s="121"/>
      <c r="Z27" s="122"/>
      <c r="AA27" s="121"/>
      <c r="AB27" s="121"/>
      <c r="AC27" s="121"/>
      <c r="AD27" s="121"/>
      <c r="AE27" s="122"/>
      <c r="AF27" s="121"/>
      <c r="AG27" s="20"/>
      <c r="AH27" s="325"/>
      <c r="AI27" s="20"/>
      <c r="AJ27" s="20"/>
      <c r="AK27" s="20"/>
      <c r="AL27" s="20"/>
    </row>
    <row r="28" spans="2:38" s="22" customFormat="1" ht="15">
      <c r="B28" s="18"/>
      <c r="C28" s="20" t="s">
        <v>56</v>
      </c>
      <c r="D28" s="121">
        <v>19386</v>
      </c>
      <c r="E28" s="121">
        <v>24759</v>
      </c>
      <c r="F28" s="121">
        <v>25985</v>
      </c>
      <c r="G28" s="121">
        <v>28181</v>
      </c>
      <c r="H28" s="121">
        <v>31534</v>
      </c>
      <c r="I28" s="121"/>
      <c r="J28" s="121">
        <v>23428</v>
      </c>
      <c r="K28" s="121">
        <v>23851</v>
      </c>
      <c r="L28" s="121">
        <v>24561</v>
      </c>
      <c r="M28" s="121">
        <v>24759</v>
      </c>
      <c r="N28" s="121">
        <v>25569</v>
      </c>
      <c r="O28" s="121">
        <v>25002</v>
      </c>
      <c r="P28" s="121">
        <v>25811</v>
      </c>
      <c r="Q28" s="121">
        <v>25985</v>
      </c>
      <c r="R28" s="121">
        <v>26817</v>
      </c>
      <c r="S28" s="121">
        <v>27402</v>
      </c>
      <c r="T28" s="121">
        <v>27668</v>
      </c>
      <c r="U28" s="121">
        <v>28181</v>
      </c>
      <c r="V28" s="121">
        <v>29638</v>
      </c>
      <c r="W28" s="121">
        <v>30014</v>
      </c>
      <c r="X28" s="121">
        <v>30365</v>
      </c>
      <c r="Y28" s="121">
        <v>31534</v>
      </c>
      <c r="Z28" s="122">
        <v>32571</v>
      </c>
      <c r="AA28" s="121">
        <f>IF(AND(Z28=0,Y28=0),0,IF(OR(AND(Z28&gt;0,Y28&lt;=0),AND(Z28&lt;0,Y28&gt;=0)),"nm",IF(AND(Z28&lt;0,Y28&lt;0),IF(-(Z28/Y28-1)*100&lt;-100,"(&gt;100)",-(Z28/Y28-1)*100),IF((Z28/Y28-1)*100&gt;100,"&gt;100",(Z28/Y28-1)*100))))</f>
        <v>3.2885139849051725</v>
      </c>
      <c r="AB28" s="121">
        <f>IF(AND(Z28=0,V28=0),0,IF(OR(AND(Z28&gt;0,V28&lt;=0),AND(Z28&lt;0,V28&gt;=0)),"nm",IF(AND(Z28&lt;0,V28&lt;0),IF(-(Z28/V28-1)*100&lt;-100,"(&gt;100)",-(Z28/V28-1)*100),IF((Z28/V28-1)*100&gt;100,"&gt;100",(Z28/V28-1)*100))))</f>
        <v>9.896079357581478</v>
      </c>
      <c r="AC28" s="121"/>
      <c r="AD28" s="121">
        <v>28181</v>
      </c>
      <c r="AE28" s="122">
        <v>31534</v>
      </c>
      <c r="AF28" s="121">
        <f>IF(AND(AE28=0,AD28=0),0,IF(OR(AND(AE28&gt;0,AD28&lt;=0),AND(AE28&lt;0,AD28&gt;=0)),"nm",IF(AND(AE28&lt;0,AD28&lt;0),IF(-(AE28/AD28-1)*100&lt;-100,"(&gt;100)",-(AE28/AD28-1)*100),IF((AE28/AD28-1)*100&gt;100,"&gt;100",(AE28/AD28-1)*100))))</f>
        <v>11.898087363826694</v>
      </c>
      <c r="AG28" s="20"/>
      <c r="AH28" s="325"/>
      <c r="AI28" s="20"/>
      <c r="AJ28" s="20"/>
      <c r="AK28" s="20"/>
      <c r="AL28" s="20"/>
    </row>
    <row r="29" spans="2:38" s="22" customFormat="1" ht="15">
      <c r="B29" s="18"/>
      <c r="C29" s="20" t="s">
        <v>57</v>
      </c>
      <c r="D29" s="121">
        <v>19819</v>
      </c>
      <c r="E29" s="121">
        <v>25373</v>
      </c>
      <c r="F29" s="121">
        <v>26693</v>
      </c>
      <c r="G29" s="121">
        <v>28861</v>
      </c>
      <c r="H29" s="121">
        <v>31773</v>
      </c>
      <c r="I29" s="121"/>
      <c r="J29" s="121">
        <v>24042</v>
      </c>
      <c r="K29" s="121">
        <v>24465</v>
      </c>
      <c r="L29" s="121">
        <v>25174</v>
      </c>
      <c r="M29" s="121">
        <v>25373</v>
      </c>
      <c r="N29" s="121">
        <v>26183</v>
      </c>
      <c r="O29" s="121">
        <v>25718</v>
      </c>
      <c r="P29" s="121">
        <v>26523</v>
      </c>
      <c r="Q29" s="121">
        <v>26693</v>
      </c>
      <c r="R29" s="121">
        <v>27521</v>
      </c>
      <c r="S29" s="121">
        <v>28101</v>
      </c>
      <c r="T29" s="121">
        <v>28360</v>
      </c>
      <c r="U29" s="121">
        <v>28861</v>
      </c>
      <c r="V29" s="121">
        <v>29844</v>
      </c>
      <c r="W29" s="121">
        <v>30219</v>
      </c>
      <c r="X29" s="121">
        <v>30566</v>
      </c>
      <c r="Y29" s="121">
        <v>31773</v>
      </c>
      <c r="Z29" s="122">
        <v>32757</v>
      </c>
      <c r="AA29" s="121">
        <f>IF(AND(Z29=0,Y29=0),0,IF(OR(AND(Z29&gt;0,Y29&lt;=0),AND(Z29&lt;0,Y29&gt;=0)),"nm",IF(AND(Z29&lt;0,Y29&lt;0),IF(-(Z29/Y29-1)*100&lt;-100,"(&gt;100)",-(Z29/Y29-1)*100),IF((Z29/Y29-1)*100&gt;100,"&gt;100",(Z29/Y29-1)*100))))</f>
        <v>3.0969691247285436</v>
      </c>
      <c r="AB29" s="121">
        <f>IF(AND(Z29=0,V29=0),0,IF(OR(AND(Z29&gt;0,V29&lt;=0),AND(Z29&lt;0,V29&gt;=0)),"nm",IF(AND(Z29&lt;0,V29&lt;0),IF(-(Z29/V29-1)*100&lt;-100,"(&gt;100)",-(Z29/V29-1)*100),IF((Z29/V29-1)*100&gt;100,"&gt;100",(Z29/V29-1)*100))))</f>
        <v>9.760755930840359</v>
      </c>
      <c r="AC29" s="121"/>
      <c r="AD29" s="121">
        <v>28861</v>
      </c>
      <c r="AE29" s="122">
        <v>31773</v>
      </c>
      <c r="AF29" s="121">
        <f>IF(AND(AE29=0,AD29=0),0,IF(OR(AND(AE29&gt;0,AD29&lt;=0),AND(AE29&lt;0,AD29&gt;=0)),"nm",IF(AND(AE29&lt;0,AD29&lt;0),IF(-(AE29/AD29-1)*100&lt;-100,"(&gt;100)",-(AE29/AD29-1)*100),IF((AE29/AD29-1)*100&gt;100,"&gt;100",(AE29/AD29-1)*100))))</f>
        <v>10.089740480232834</v>
      </c>
      <c r="AG29" s="20"/>
      <c r="AH29" s="325"/>
      <c r="AI29" s="20"/>
      <c r="AJ29" s="20"/>
      <c r="AK29" s="20"/>
      <c r="AL29" s="20"/>
    </row>
    <row r="30" spans="2:35" s="20" customFormat="1" ht="14.25">
      <c r="B30" s="34"/>
      <c r="D30" s="121"/>
      <c r="E30" s="121"/>
      <c r="F30" s="121"/>
      <c r="G30" s="121"/>
      <c r="H30" s="121"/>
      <c r="I30" s="121"/>
      <c r="J30" s="121"/>
      <c r="K30" s="121"/>
      <c r="L30" s="121"/>
      <c r="M30" s="121"/>
      <c r="N30" s="121"/>
      <c r="O30" s="121"/>
      <c r="P30" s="121"/>
      <c r="Q30" s="121"/>
      <c r="R30" s="121"/>
      <c r="S30" s="121"/>
      <c r="T30" s="121"/>
      <c r="U30" s="121"/>
      <c r="V30" s="121"/>
      <c r="W30" s="121"/>
      <c r="X30" s="121"/>
      <c r="Y30" s="121"/>
      <c r="Z30" s="122"/>
      <c r="AA30" s="140"/>
      <c r="AB30" s="121"/>
      <c r="AC30" s="121"/>
      <c r="AD30" s="121"/>
      <c r="AE30" s="122"/>
      <c r="AF30" s="121"/>
      <c r="AH30" s="325"/>
      <c r="AI30" s="325"/>
    </row>
    <row r="31" spans="2:35" s="34" customFormat="1" ht="14.25">
      <c r="B31" s="49" t="s">
        <v>232</v>
      </c>
      <c r="D31" s="126"/>
      <c r="E31" s="121"/>
      <c r="F31" s="121"/>
      <c r="G31" s="121"/>
      <c r="H31" s="121"/>
      <c r="I31" s="121"/>
      <c r="J31" s="121"/>
      <c r="K31" s="121"/>
      <c r="L31" s="121"/>
      <c r="M31" s="121"/>
      <c r="N31" s="121"/>
      <c r="O31" s="121"/>
      <c r="P31" s="121"/>
      <c r="Q31" s="121"/>
      <c r="R31" s="121"/>
      <c r="S31" s="121"/>
      <c r="T31" s="121"/>
      <c r="U31" s="121"/>
      <c r="V31" s="121"/>
      <c r="W31" s="121"/>
      <c r="X31" s="121"/>
      <c r="Y31" s="121"/>
      <c r="Z31" s="122"/>
      <c r="AA31" s="140"/>
      <c r="AB31" s="121"/>
      <c r="AC31" s="121"/>
      <c r="AD31" s="121"/>
      <c r="AE31" s="122"/>
      <c r="AF31" s="121"/>
      <c r="AH31" s="325"/>
      <c r="AI31" s="325"/>
    </row>
    <row r="32" spans="3:34" s="20" customFormat="1" ht="14.25">
      <c r="C32" s="20" t="s">
        <v>193</v>
      </c>
      <c r="D32" s="121">
        <v>1521</v>
      </c>
      <c r="E32" s="121">
        <f>L32</f>
        <v>2282</v>
      </c>
      <c r="F32" s="121">
        <v>2309</v>
      </c>
      <c r="G32" s="121">
        <v>2350</v>
      </c>
      <c r="H32" s="121">
        <v>2437</v>
      </c>
      <c r="I32" s="121"/>
      <c r="J32" s="121">
        <v>2281</v>
      </c>
      <c r="K32" s="121">
        <v>2281</v>
      </c>
      <c r="L32" s="121">
        <v>2282</v>
      </c>
      <c r="M32" s="121">
        <v>2282</v>
      </c>
      <c r="N32" s="121">
        <v>2283</v>
      </c>
      <c r="O32" s="121">
        <v>2298</v>
      </c>
      <c r="P32" s="121">
        <v>2308</v>
      </c>
      <c r="Q32" s="121">
        <v>2309</v>
      </c>
      <c r="R32" s="121">
        <v>2309</v>
      </c>
      <c r="S32" s="121">
        <v>2343</v>
      </c>
      <c r="T32" s="121">
        <v>2350</v>
      </c>
      <c r="U32" s="121">
        <v>2350</v>
      </c>
      <c r="V32" s="121">
        <v>2416</v>
      </c>
      <c r="W32" s="121">
        <v>2429</v>
      </c>
      <c r="X32" s="121">
        <v>2430</v>
      </c>
      <c r="Y32" s="121">
        <v>2437</v>
      </c>
      <c r="Z32" s="122">
        <v>2440</v>
      </c>
      <c r="AA32" s="121">
        <f>IF(AND(Z32=0,Y32=0),0,IF(OR(AND(Z32&gt;0,Y32&lt;=0),AND(Z32&lt;0,Y32&gt;=0)),"nm",IF(AND(Z32&lt;0,Y32&lt;0),IF(-(Z32/Y32-1)*100&lt;-100,"(&gt;100)",-(Z32/Y32-1)*100),IF((Z32/Y32-1)*100&gt;100,"&gt;100",(Z32/Y32-1)*100))))</f>
        <v>0.12310217480508978</v>
      </c>
      <c r="AB32" s="121">
        <f>IF(AND(Z32=0,V32=0),0,IF(OR(AND(Z32&gt;0,V32&lt;=0),AND(Z32&lt;0,V32&gt;=0)),"nm",IF(AND(Z32&lt;0,V32&lt;0),IF(-(Z32/V32-1)*100&lt;-100,"(&gt;100)",-(Z32/V32-1)*100),IF((Z32/V32-1)*100&gt;100,"&gt;100",(Z32/V32-1)*100))))</f>
        <v>0.9933774834437026</v>
      </c>
      <c r="AC32" s="121"/>
      <c r="AD32" s="121">
        <v>2350</v>
      </c>
      <c r="AE32" s="122">
        <v>2437</v>
      </c>
      <c r="AF32" s="121">
        <f>IF(AND(AE32=0,AD32=0),0,IF(OR(AND(AE32&gt;0,AD32&lt;=0),AND(AE32&lt;0,AD32&gt;=0)),"nm",IF(AND(AE32&lt;0,AD32&lt;0),IF(-(AE32/AD32-1)*100&lt;-100,"(&gt;100)",-(AE32/AD32-1)*100),IF((AE32/AD32-1)*100&gt;100,"&gt;100",(AE32/AD32-1)*100))))</f>
        <v>3.7021276595744723</v>
      </c>
      <c r="AH32" s="325"/>
    </row>
    <row r="33" spans="3:34" s="20" customFormat="1" ht="14.25">
      <c r="C33" s="20" t="s">
        <v>194</v>
      </c>
      <c r="D33" s="121">
        <v>1588</v>
      </c>
      <c r="E33" s="121">
        <f>L33</f>
        <v>2382</v>
      </c>
      <c r="F33" s="121">
        <v>2417</v>
      </c>
      <c r="G33" s="121">
        <v>2456</v>
      </c>
      <c r="H33" s="121">
        <v>2470</v>
      </c>
      <c r="I33" s="121"/>
      <c r="J33" s="121">
        <v>2381</v>
      </c>
      <c r="K33" s="121">
        <v>2381</v>
      </c>
      <c r="L33" s="121">
        <v>2382</v>
      </c>
      <c r="M33" s="121">
        <v>2382</v>
      </c>
      <c r="N33" s="121">
        <v>2383</v>
      </c>
      <c r="O33" s="121">
        <v>2408</v>
      </c>
      <c r="P33" s="121">
        <v>2417</v>
      </c>
      <c r="Q33" s="121">
        <v>2417</v>
      </c>
      <c r="R33" s="121">
        <v>2417</v>
      </c>
      <c r="S33" s="121">
        <v>2450</v>
      </c>
      <c r="T33" s="121">
        <v>2457</v>
      </c>
      <c r="U33" s="121">
        <v>2456</v>
      </c>
      <c r="V33" s="121">
        <v>2450</v>
      </c>
      <c r="W33" s="121">
        <v>2463</v>
      </c>
      <c r="X33" s="121">
        <v>2463</v>
      </c>
      <c r="Y33" s="121">
        <v>2470</v>
      </c>
      <c r="Z33" s="122">
        <v>2472</v>
      </c>
      <c r="AA33" s="121">
        <f>IF(AND(Z33=0,Y33=0),0,IF(OR(AND(Z33&gt;0,Y33&lt;=0),AND(Z33&lt;0,Y33&gt;=0)),"nm",IF(AND(Z33&lt;0,Y33&lt;0),IF(-(Z33/Y33-1)*100&lt;-100,"(&gt;100)",-(Z33/Y33-1)*100),IF((Z33/Y33-1)*100&gt;100,"&gt;100",(Z33/Y33-1)*100))))</f>
        <v>0.08097165991902688</v>
      </c>
      <c r="AB33" s="121">
        <f>IF(AND(Z33=0,V33=0),0,IF(OR(AND(Z33&gt;0,V33&lt;=0),AND(Z33&lt;0,V33&gt;=0)),"nm",IF(AND(Z33&lt;0,V33&lt;0),IF(-(Z33/V33-1)*100&lt;-100,"(&gt;100)",-(Z33/V33-1)*100),IF((Z33/V33-1)*100&gt;100,"&gt;100",(Z33/V33-1)*100))))</f>
        <v>0.8979591836734802</v>
      </c>
      <c r="AC33" s="121"/>
      <c r="AD33" s="121">
        <v>2456</v>
      </c>
      <c r="AE33" s="122">
        <v>2470</v>
      </c>
      <c r="AF33" s="121">
        <f>IF(AND(AE33=0,AD33=0),0,IF(OR(AND(AE33&gt;0,AD33&lt;=0),AND(AE33&lt;0,AD33&gt;=0)),"nm",IF(AND(AE33&lt;0,AD33&lt;0),IF(-(AE33/AD33-1)*100&lt;-100,"(&gt;100)",-(AE33/AD33-1)*100),IF((AE33/AD33-1)*100&gt;100,"&gt;100",(AE33/AD33-1)*100))))</f>
        <v>0.5700325732898914</v>
      </c>
      <c r="AH33" s="325"/>
    </row>
    <row r="34" spans="4:32" s="20" customFormat="1" ht="14.25">
      <c r="D34" s="121"/>
      <c r="E34" s="121"/>
      <c r="F34" s="121"/>
      <c r="G34" s="121"/>
      <c r="H34" s="121"/>
      <c r="I34" s="121"/>
      <c r="J34" s="121"/>
      <c r="K34" s="121"/>
      <c r="L34" s="121"/>
      <c r="M34" s="121"/>
      <c r="N34" s="121"/>
      <c r="O34" s="121"/>
      <c r="P34" s="121"/>
      <c r="Q34" s="121"/>
      <c r="R34" s="121"/>
      <c r="S34" s="121"/>
      <c r="T34" s="121"/>
      <c r="U34" s="121"/>
      <c r="V34" s="121"/>
      <c r="W34" s="121"/>
      <c r="X34" s="121"/>
      <c r="Y34" s="121"/>
      <c r="Z34" s="122"/>
      <c r="AA34" s="140"/>
      <c r="AB34" s="140"/>
      <c r="AC34" s="121"/>
      <c r="AD34" s="121"/>
      <c r="AE34" s="122"/>
      <c r="AF34" s="121"/>
    </row>
    <row r="35" spans="2:32" s="34" customFormat="1" ht="14.25">
      <c r="B35" s="34" t="s">
        <v>334</v>
      </c>
      <c r="C35" s="516" t="s">
        <v>348</v>
      </c>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121"/>
      <c r="AD35" s="127"/>
      <c r="AE35" s="346"/>
      <c r="AF35" s="127"/>
    </row>
    <row r="36" spans="3:32" s="59" customFormat="1" ht="14.25">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128"/>
      <c r="AD36" s="309"/>
      <c r="AE36" s="347"/>
      <c r="AF36" s="127"/>
    </row>
    <row r="37" spans="3:32" s="115" customFormat="1" ht="14.25">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130"/>
      <c r="AD37" s="310"/>
      <c r="AE37" s="348"/>
      <c r="AF37" s="127"/>
    </row>
  </sheetData>
  <sheetProtection/>
  <mergeCells count="2">
    <mergeCell ref="A2:C2"/>
    <mergeCell ref="C35:AB37"/>
  </mergeCells>
  <hyperlinks>
    <hyperlink ref="A2" location="Index!A1" display="Back to Index"/>
  </hyperlinks>
  <printOptions/>
  <pageMargins left="0.75" right="0.75" top="1" bottom="1" header="0.5" footer="0.5"/>
  <pageSetup fitToHeight="1" fitToWidth="1"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AK34"/>
  <sheetViews>
    <sheetView zoomScale="80" zoomScaleNormal="80" zoomScalePageLayoutView="0" workbookViewId="0" topLeftCell="A1">
      <pane xSplit="3" ySplit="2" topLeftCell="N3" activePane="bottomRight" state="frozen"/>
      <selection pane="topLeft" activeCell="P25" sqref="P25"/>
      <selection pane="topRight" activeCell="P25" sqref="P25"/>
      <selection pane="bottomLeft" activeCell="P25" sqref="P25"/>
      <selection pane="bottomRight" activeCell="Z16" sqref="Z16"/>
    </sheetView>
  </sheetViews>
  <sheetFormatPr defaultColWidth="9.140625" defaultRowHeight="12.75" outlineLevelCol="1"/>
  <cols>
    <col min="1" max="1" width="2.421875" style="26" customWidth="1"/>
    <col min="2" max="2" width="1.57421875" style="26" customWidth="1"/>
    <col min="3" max="3" width="26.7109375" style="25" customWidth="1"/>
    <col min="4" max="4" width="9.8515625" style="164" hidden="1" customWidth="1" outlineLevel="1"/>
    <col min="5" max="8" width="9.8515625" style="21" hidden="1" customWidth="1" outlineLevel="1"/>
    <col min="9" max="9" width="2.8515625" style="21" hidden="1" customWidth="1" outlineLevel="1"/>
    <col min="10" max="17" width="9.8515625" style="21" hidden="1" customWidth="1" outlineLevel="1"/>
    <col min="18" max="18" width="9.8515625" style="21" hidden="1" customWidth="1" outlineLevel="1" collapsed="1"/>
    <col min="19" max="21" width="9.8515625" style="21" hidden="1" customWidth="1" outlineLevel="1"/>
    <col min="22" max="22" width="9.8515625" style="21" customWidth="1" collapsed="1"/>
    <col min="23" max="25" width="9.8515625" style="21" customWidth="1"/>
    <col min="26" max="26" width="9.8515625" style="307" customWidth="1"/>
    <col min="27" max="28" width="9.8515625" style="21" customWidth="1"/>
    <col min="29" max="29" width="3.421875" style="26" customWidth="1"/>
    <col min="30" max="30" width="9.8515625" style="21" hidden="1" customWidth="1"/>
    <col min="31" max="31" width="10.140625" style="307" hidden="1" customWidth="1"/>
    <col min="32" max="32" width="8.7109375" style="21" hidden="1" customWidth="1"/>
    <col min="33" max="16384" width="9.140625" style="26" customWidth="1"/>
  </cols>
  <sheetData>
    <row r="1" spans="1:32" s="42" customFormat="1" ht="20.25">
      <c r="A1" s="41" t="s">
        <v>143</v>
      </c>
      <c r="D1" s="163"/>
      <c r="E1" s="124"/>
      <c r="F1" s="124"/>
      <c r="G1" s="124"/>
      <c r="H1" s="124"/>
      <c r="I1" s="43"/>
      <c r="J1" s="43"/>
      <c r="K1" s="43"/>
      <c r="L1" s="43"/>
      <c r="M1" s="43"/>
      <c r="N1" s="43"/>
      <c r="O1" s="43"/>
      <c r="P1" s="43"/>
      <c r="Q1" s="43"/>
      <c r="R1" s="43"/>
      <c r="S1" s="43"/>
      <c r="T1" s="43"/>
      <c r="U1" s="43"/>
      <c r="V1" s="43"/>
      <c r="W1" s="43"/>
      <c r="X1" s="43"/>
      <c r="Y1" s="43"/>
      <c r="Z1" s="360"/>
      <c r="AA1" s="43"/>
      <c r="AB1" s="43"/>
      <c r="AC1" s="43"/>
      <c r="AD1" s="43"/>
      <c r="AE1" s="360"/>
      <c r="AF1" s="43"/>
    </row>
    <row r="2" spans="1:32" s="44" customFormat="1" ht="45">
      <c r="A2" s="515" t="s">
        <v>80</v>
      </c>
      <c r="B2" s="515"/>
      <c r="C2" s="515"/>
      <c r="D2" s="73" t="s">
        <v>60</v>
      </c>
      <c r="E2" s="74" t="s">
        <v>231</v>
      </c>
      <c r="F2" s="74" t="s">
        <v>347</v>
      </c>
      <c r="G2" s="74" t="s">
        <v>366</v>
      </c>
      <c r="H2" s="74" t="s">
        <v>392</v>
      </c>
      <c r="I2" s="73"/>
      <c r="J2" s="73" t="s">
        <v>2</v>
      </c>
      <c r="K2" s="73" t="s">
        <v>3</v>
      </c>
      <c r="L2" s="73" t="s">
        <v>4</v>
      </c>
      <c r="M2" s="73" t="s">
        <v>230</v>
      </c>
      <c r="N2" s="73" t="s">
        <v>331</v>
      </c>
      <c r="O2" s="73" t="s">
        <v>335</v>
      </c>
      <c r="P2" s="73" t="s">
        <v>342</v>
      </c>
      <c r="Q2" s="73" t="s">
        <v>346</v>
      </c>
      <c r="R2" s="290" t="s">
        <v>350</v>
      </c>
      <c r="S2" s="290" t="s">
        <v>355</v>
      </c>
      <c r="T2" s="290" t="s">
        <v>360</v>
      </c>
      <c r="U2" s="290" t="s">
        <v>365</v>
      </c>
      <c r="V2" s="290" t="s">
        <v>367</v>
      </c>
      <c r="W2" s="290" t="s">
        <v>380</v>
      </c>
      <c r="X2" s="290" t="s">
        <v>387</v>
      </c>
      <c r="Y2" s="290" t="s">
        <v>394</v>
      </c>
      <c r="Z2" s="290" t="s">
        <v>408</v>
      </c>
      <c r="AA2" s="290" t="s">
        <v>409</v>
      </c>
      <c r="AB2" s="290" t="s">
        <v>410</v>
      </c>
      <c r="AD2" s="290" t="s">
        <v>366</v>
      </c>
      <c r="AE2" s="290" t="s">
        <v>392</v>
      </c>
      <c r="AF2" s="290" t="s">
        <v>393</v>
      </c>
    </row>
    <row r="3" spans="1:32" s="18" customFormat="1" ht="9.75" customHeight="1">
      <c r="A3" s="7"/>
      <c r="D3" s="15"/>
      <c r="E3" s="15"/>
      <c r="F3" s="15"/>
      <c r="G3" s="15"/>
      <c r="H3" s="15"/>
      <c r="I3" s="15"/>
      <c r="J3" s="15"/>
      <c r="K3" s="15"/>
      <c r="L3" s="15"/>
      <c r="M3" s="15"/>
      <c r="N3" s="15"/>
      <c r="O3" s="15"/>
      <c r="P3" s="15"/>
      <c r="Q3" s="15"/>
      <c r="R3" s="15"/>
      <c r="S3" s="15"/>
      <c r="T3" s="15"/>
      <c r="U3" s="15"/>
      <c r="V3" s="15"/>
      <c r="W3" s="15"/>
      <c r="X3" s="15"/>
      <c r="Y3" s="15"/>
      <c r="Z3" s="16"/>
      <c r="AA3" s="17"/>
      <c r="AB3" s="17"/>
      <c r="AC3" s="15"/>
      <c r="AD3" s="15"/>
      <c r="AE3" s="16"/>
      <c r="AF3" s="17"/>
    </row>
    <row r="4" spans="1:35" s="18" customFormat="1" ht="15">
      <c r="A4" s="47" t="s">
        <v>103</v>
      </c>
      <c r="D4" s="15"/>
      <c r="E4" s="15"/>
      <c r="F4" s="15"/>
      <c r="G4" s="15"/>
      <c r="H4" s="15"/>
      <c r="I4" s="15"/>
      <c r="J4" s="15"/>
      <c r="K4" s="15"/>
      <c r="L4" s="15"/>
      <c r="M4" s="15"/>
      <c r="N4" s="15"/>
      <c r="O4" s="15"/>
      <c r="P4" s="15"/>
      <c r="Q4" s="15"/>
      <c r="R4" s="15"/>
      <c r="S4" s="15"/>
      <c r="T4" s="15"/>
      <c r="U4" s="15"/>
      <c r="V4" s="15"/>
      <c r="W4" s="15"/>
      <c r="X4" s="15"/>
      <c r="Y4" s="15"/>
      <c r="Z4" s="16"/>
      <c r="AA4" s="17"/>
      <c r="AB4" s="17"/>
      <c r="AC4" s="15"/>
      <c r="AD4" s="15"/>
      <c r="AE4" s="16"/>
      <c r="AF4" s="17"/>
      <c r="AI4" s="31"/>
    </row>
    <row r="5" spans="1:32" s="31" customFormat="1" ht="15">
      <c r="A5" s="31" t="s">
        <v>5</v>
      </c>
      <c r="D5" s="15">
        <v>4301</v>
      </c>
      <c r="E5" s="15">
        <v>4455</v>
      </c>
      <c r="F5" s="15">
        <v>4318</v>
      </c>
      <c r="G5" s="15">
        <v>4825</v>
      </c>
      <c r="H5" s="15">
        <v>5285</v>
      </c>
      <c r="I5" s="15"/>
      <c r="J5" s="15">
        <v>1076</v>
      </c>
      <c r="K5" s="15">
        <v>1112</v>
      </c>
      <c r="L5" s="15">
        <v>1140</v>
      </c>
      <c r="M5" s="15">
        <v>1127</v>
      </c>
      <c r="N5" s="15">
        <v>1066</v>
      </c>
      <c r="O5" s="15">
        <v>1067</v>
      </c>
      <c r="P5" s="15">
        <v>1079</v>
      </c>
      <c r="Q5" s="15">
        <v>1106</v>
      </c>
      <c r="R5" s="15">
        <v>1122</v>
      </c>
      <c r="S5" s="15">
        <v>1199</v>
      </c>
      <c r="T5" s="15">
        <v>1214</v>
      </c>
      <c r="U5" s="15">
        <v>1290</v>
      </c>
      <c r="V5" s="15">
        <v>1336</v>
      </c>
      <c r="W5" s="15">
        <v>1324</v>
      </c>
      <c r="X5" s="15">
        <v>1332</v>
      </c>
      <c r="Y5" s="15">
        <v>1293</v>
      </c>
      <c r="Z5" s="16">
        <v>1327</v>
      </c>
      <c r="AA5" s="15">
        <f>IF(AND(Z5=0,Y5=0),0,IF(OR(AND(Z5&gt;0,Y5&lt;=0),AND(Z5&lt;0,Y5&gt;=0)),"nm",IF(AND(Z5&lt;0,Y5&lt;0),IF(-(Z5/Y5-1)*100&lt;-100,"(&gt;100)",-(Z5/Y5-1)*100),IF((Z5/Y5-1)*100&gt;100,"&gt;100",(Z5/Y5-1)*100))))</f>
        <v>2.629543696829084</v>
      </c>
      <c r="AB5" s="17">
        <f>IF(AND(Z5=0,V5=0),0,IF(OR(AND(Z5&gt;0,V5&lt;=0),AND(Z5&lt;0,V5&gt;=0)),"nm",IF(AND(Z5&lt;0,V5&lt;0),IF(-(Z5/V5-1)*100&lt;-100,"(&gt;100)",-(Z5/V5-1)*100),IF((Z5/V5-1)*100&gt;100,"&gt;100",(Z5/V5-1)*100))))</f>
        <v>-0.6736526946107824</v>
      </c>
      <c r="AD5" s="15">
        <v>4825</v>
      </c>
      <c r="AE5" s="430">
        <f aca="true" t="shared" si="0" ref="AE5:AE12">V5+W5+Z5+X5</f>
        <v>5319</v>
      </c>
      <c r="AF5" s="15">
        <f>IF(AND(AE5=0,AD5=0),0,IF(OR(AND(AE5&gt;0,AD5&lt;=0),AND(AE5&lt;0,AD5&gt;=0)),"nm",IF(AND(AE5&lt;0,AD5&lt;0),IF(-(AE5/AD5-1)*100&lt;-100,"(&gt;100)",-(AE5/AD5-1)*100),IF((AE5/AD5-1)*100&gt;100,"&gt;100",(AE5/AD5-1)*100))))</f>
        <v>10.238341968911913</v>
      </c>
    </row>
    <row r="6" spans="2:32" s="31" customFormat="1" ht="15">
      <c r="B6" s="31" t="s">
        <v>23</v>
      </c>
      <c r="D6" s="15">
        <v>8122</v>
      </c>
      <c r="E6" s="15">
        <v>6114</v>
      </c>
      <c r="F6" s="15">
        <v>5699</v>
      </c>
      <c r="G6" s="15">
        <v>6555</v>
      </c>
      <c r="H6" s="15">
        <v>7621</v>
      </c>
      <c r="I6" s="15"/>
      <c r="J6" s="15">
        <v>1655</v>
      </c>
      <c r="K6" s="15">
        <f>K7+K8+K9</f>
        <v>1543</v>
      </c>
      <c r="L6" s="15">
        <v>1479</v>
      </c>
      <c r="M6" s="15">
        <v>1437</v>
      </c>
      <c r="N6" s="15">
        <v>1372</v>
      </c>
      <c r="O6" s="15">
        <v>1409</v>
      </c>
      <c r="P6" s="15">
        <v>1457</v>
      </c>
      <c r="Q6" s="15">
        <v>1461</v>
      </c>
      <c r="R6" s="15">
        <v>1485</v>
      </c>
      <c r="S6" s="15">
        <v>1580</v>
      </c>
      <c r="T6" s="15">
        <v>1676</v>
      </c>
      <c r="U6" s="15">
        <v>1814</v>
      </c>
      <c r="V6" s="15">
        <v>1870</v>
      </c>
      <c r="W6" s="15">
        <v>1912</v>
      </c>
      <c r="X6" s="15">
        <v>1939</v>
      </c>
      <c r="Y6" s="15">
        <v>1900</v>
      </c>
      <c r="Z6" s="16">
        <v>1920</v>
      </c>
      <c r="AA6" s="15">
        <f aca="true" t="shared" si="1" ref="AA6:AA12">IF(AND(Z6=0,Y6=0),0,IF(OR(AND(Z6&gt;0,Y6&lt;=0),AND(Z6&lt;0,Y6&gt;=0)),"nm",IF(AND(Z6&lt;0,Y6&lt;0),IF(-(Z6/Y6-1)*100&lt;-100,"(&gt;100)",-(Z6/Y6-1)*100),IF((Z6/Y6-1)*100&gt;100,"&gt;100",(Z6/Y6-1)*100))))</f>
        <v>1.0526315789473717</v>
      </c>
      <c r="AB6" s="17">
        <f aca="true" t="shared" si="2" ref="AB6:AB12">IF(AND(Z6=0,V6=0),0,IF(OR(AND(Z6&gt;0,V6&lt;=0),AND(Z6&lt;0,V6&gt;=0)),"nm",IF(AND(Z6&lt;0,V6&lt;0),IF(-(Z6/V6-1)*100&lt;-100,"(&gt;100)",-(Z6/V6-1)*100),IF((Z6/V6-1)*100&gt;100,"&gt;100",(Z6/V6-1)*100))))</f>
        <v>2.673796791443861</v>
      </c>
      <c r="AD6" s="15">
        <v>6555</v>
      </c>
      <c r="AE6" s="430">
        <f t="shared" si="0"/>
        <v>7641</v>
      </c>
      <c r="AF6" s="15">
        <f aca="true" t="shared" si="3" ref="AF6:AF11">IF(AND(AE6=0,AD6=0),0,IF(OR(AND(AE6&gt;0,AD6&lt;=0),AND(AE6&lt;0,AD6&gt;=0)),"nm",IF(AND(AE6&lt;0,AD6&lt;0),IF(-(AE6/AD6-1)*100&lt;-100,"(&gt;100)",-(AE6/AD6-1)*100),IF((AE6/AD6-1)*100&gt;100,"&gt;100",(AE6/AD6-1)*100))))</f>
        <v>16.567505720823796</v>
      </c>
    </row>
    <row r="7" spans="3:37" s="36" customFormat="1" ht="15">
      <c r="C7" s="36" t="s">
        <v>17</v>
      </c>
      <c r="D7" s="21">
        <v>5051</v>
      </c>
      <c r="E7" s="21">
        <v>4075</v>
      </c>
      <c r="F7" s="21">
        <v>3937</v>
      </c>
      <c r="G7" s="21">
        <v>4571</v>
      </c>
      <c r="H7" s="19">
        <v>5644</v>
      </c>
      <c r="I7" s="21"/>
      <c r="J7" s="21">
        <v>1107</v>
      </c>
      <c r="K7" s="21">
        <v>1017</v>
      </c>
      <c r="L7" s="21">
        <v>983</v>
      </c>
      <c r="M7" s="21">
        <v>968</v>
      </c>
      <c r="N7" s="21">
        <v>934</v>
      </c>
      <c r="O7" s="21">
        <v>984</v>
      </c>
      <c r="P7" s="21">
        <v>1009</v>
      </c>
      <c r="Q7" s="21">
        <v>1011</v>
      </c>
      <c r="R7" s="21">
        <v>1018</v>
      </c>
      <c r="S7" s="21">
        <v>1080</v>
      </c>
      <c r="T7" s="21">
        <v>1175</v>
      </c>
      <c r="U7" s="21">
        <v>1298</v>
      </c>
      <c r="V7" s="21">
        <v>1374</v>
      </c>
      <c r="W7" s="21">
        <v>1411</v>
      </c>
      <c r="X7" s="19">
        <v>1434</v>
      </c>
      <c r="Y7" s="19">
        <v>1425</v>
      </c>
      <c r="Z7" s="307">
        <v>1467</v>
      </c>
      <c r="AA7" s="19">
        <f t="shared" si="1"/>
        <v>2.947368421052632</v>
      </c>
      <c r="AB7" s="121">
        <f t="shared" si="2"/>
        <v>6.768558951965065</v>
      </c>
      <c r="AC7" s="34"/>
      <c r="AD7" s="19">
        <v>4571</v>
      </c>
      <c r="AE7" s="431">
        <f t="shared" si="0"/>
        <v>5686</v>
      </c>
      <c r="AF7" s="19">
        <f t="shared" si="3"/>
        <v>24.392911835484576</v>
      </c>
      <c r="AG7" s="31"/>
      <c r="AH7" s="34"/>
      <c r="AI7" s="31"/>
      <c r="AJ7" s="34"/>
      <c r="AK7" s="34"/>
    </row>
    <row r="8" spans="3:37" s="36" customFormat="1" ht="15">
      <c r="C8" s="36" t="s">
        <v>18</v>
      </c>
      <c r="D8" s="21">
        <v>926</v>
      </c>
      <c r="E8" s="21">
        <v>378</v>
      </c>
      <c r="F8" s="21">
        <v>358</v>
      </c>
      <c r="G8" s="21">
        <v>532</v>
      </c>
      <c r="H8" s="19">
        <v>496</v>
      </c>
      <c r="I8" s="21"/>
      <c r="J8" s="21">
        <v>107</v>
      </c>
      <c r="K8" s="21">
        <v>95</v>
      </c>
      <c r="L8" s="21">
        <v>94</v>
      </c>
      <c r="M8" s="21">
        <v>82</v>
      </c>
      <c r="N8" s="21">
        <v>74</v>
      </c>
      <c r="O8" s="21">
        <v>82</v>
      </c>
      <c r="P8" s="21">
        <v>97</v>
      </c>
      <c r="Q8" s="21">
        <v>105</v>
      </c>
      <c r="R8" s="21">
        <v>123</v>
      </c>
      <c r="S8" s="21">
        <v>127</v>
      </c>
      <c r="T8" s="21">
        <v>142</v>
      </c>
      <c r="U8" s="21">
        <v>140</v>
      </c>
      <c r="V8" s="21">
        <v>119</v>
      </c>
      <c r="W8" s="21">
        <v>120</v>
      </c>
      <c r="X8" s="19">
        <v>139</v>
      </c>
      <c r="Y8" s="19">
        <v>118</v>
      </c>
      <c r="Z8" s="307">
        <v>110</v>
      </c>
      <c r="AA8" s="19">
        <f t="shared" si="1"/>
        <v>-6.779661016949157</v>
      </c>
      <c r="AB8" s="121">
        <f t="shared" si="2"/>
        <v>-7.563025210084029</v>
      </c>
      <c r="AC8" s="34"/>
      <c r="AD8" s="19">
        <v>532</v>
      </c>
      <c r="AE8" s="431">
        <f t="shared" si="0"/>
        <v>488</v>
      </c>
      <c r="AF8" s="19">
        <f t="shared" si="3"/>
        <v>-8.270676691729328</v>
      </c>
      <c r="AG8" s="31"/>
      <c r="AH8" s="34"/>
      <c r="AI8" s="31"/>
      <c r="AJ8" s="34"/>
      <c r="AK8" s="34"/>
    </row>
    <row r="9" spans="3:37" s="36" customFormat="1" ht="15">
      <c r="C9" s="36" t="s">
        <v>19</v>
      </c>
      <c r="D9" s="21">
        <v>2145</v>
      </c>
      <c r="E9" s="21">
        <v>1661</v>
      </c>
      <c r="F9" s="21">
        <v>1404</v>
      </c>
      <c r="G9" s="21">
        <v>1452</v>
      </c>
      <c r="H9" s="19">
        <v>1481</v>
      </c>
      <c r="I9" s="21"/>
      <c r="J9" s="21">
        <v>441</v>
      </c>
      <c r="K9" s="21">
        <v>431</v>
      </c>
      <c r="L9" s="21">
        <v>402</v>
      </c>
      <c r="M9" s="21">
        <v>387</v>
      </c>
      <c r="N9" s="21">
        <v>364</v>
      </c>
      <c r="O9" s="21">
        <v>343</v>
      </c>
      <c r="P9" s="21">
        <v>351</v>
      </c>
      <c r="Q9" s="21">
        <v>345</v>
      </c>
      <c r="R9" s="21">
        <v>344</v>
      </c>
      <c r="S9" s="21">
        <v>373</v>
      </c>
      <c r="T9" s="21">
        <v>359</v>
      </c>
      <c r="U9" s="21">
        <v>376</v>
      </c>
      <c r="V9" s="21">
        <v>377</v>
      </c>
      <c r="W9" s="21">
        <v>381</v>
      </c>
      <c r="X9" s="19">
        <v>366</v>
      </c>
      <c r="Y9" s="19">
        <v>357</v>
      </c>
      <c r="Z9" s="307">
        <v>343</v>
      </c>
      <c r="AA9" s="19">
        <f>IF(AND(Z9=0,Y9=0),0,IF(OR(AND(Z9&gt;0,Y9&lt;=0),AND(Z9&lt;0,Y9&gt;=0)),"nm",IF(AND(Z9&lt;0,Y9&lt;0),IF(-(Z9/Y9-1)*100&lt;-100,"(&gt;100)",-(Z9/Y9-1)*100),IF((Z9/Y9-1)*100&gt;100,"&gt;100",(Z9/Y9-1)*100))))</f>
        <v>-3.9215686274509776</v>
      </c>
      <c r="AB9" s="121">
        <f t="shared" si="2"/>
        <v>-9.018567639257292</v>
      </c>
      <c r="AC9" s="34"/>
      <c r="AD9" s="19">
        <v>1452</v>
      </c>
      <c r="AE9" s="431">
        <f t="shared" si="0"/>
        <v>1467</v>
      </c>
      <c r="AF9" s="19">
        <f t="shared" si="3"/>
        <v>1.0330578512396604</v>
      </c>
      <c r="AG9" s="31"/>
      <c r="AH9" s="34"/>
      <c r="AI9" s="31"/>
      <c r="AJ9" s="34"/>
      <c r="AK9" s="34"/>
    </row>
    <row r="10" spans="2:32" s="31" customFormat="1" ht="15">
      <c r="B10" s="31" t="s">
        <v>24</v>
      </c>
      <c r="D10" s="15">
        <v>3821</v>
      </c>
      <c r="E10" s="15">
        <v>1659</v>
      </c>
      <c r="F10" s="15">
        <v>1381</v>
      </c>
      <c r="G10" s="15">
        <v>1730</v>
      </c>
      <c r="H10" s="15">
        <v>2336</v>
      </c>
      <c r="I10" s="15"/>
      <c r="J10" s="15">
        <v>579</v>
      </c>
      <c r="K10" s="15">
        <f>K11+K12</f>
        <v>431</v>
      </c>
      <c r="L10" s="15">
        <v>339</v>
      </c>
      <c r="M10" s="15">
        <v>310</v>
      </c>
      <c r="N10" s="15">
        <v>306</v>
      </c>
      <c r="O10" s="15">
        <v>342</v>
      </c>
      <c r="P10" s="15">
        <v>378</v>
      </c>
      <c r="Q10" s="15">
        <v>355</v>
      </c>
      <c r="R10" s="15">
        <v>363</v>
      </c>
      <c r="S10" s="15">
        <v>381</v>
      </c>
      <c r="T10" s="15">
        <v>462</v>
      </c>
      <c r="U10" s="15">
        <v>524</v>
      </c>
      <c r="V10" s="15">
        <v>534</v>
      </c>
      <c r="W10" s="15">
        <v>588</v>
      </c>
      <c r="X10" s="15">
        <v>607</v>
      </c>
      <c r="Y10" s="15">
        <v>607</v>
      </c>
      <c r="Z10" s="16">
        <v>593</v>
      </c>
      <c r="AA10" s="15">
        <f t="shared" si="1"/>
        <v>-2.3064250411861664</v>
      </c>
      <c r="AB10" s="17">
        <f t="shared" si="2"/>
        <v>11.048689138576773</v>
      </c>
      <c r="AD10" s="15">
        <v>1730</v>
      </c>
      <c r="AE10" s="430">
        <f t="shared" si="0"/>
        <v>2322</v>
      </c>
      <c r="AF10" s="15">
        <f t="shared" si="3"/>
        <v>34.21965317919076</v>
      </c>
    </row>
    <row r="11" spans="3:37" s="36" customFormat="1" ht="15">
      <c r="C11" s="36" t="s">
        <v>21</v>
      </c>
      <c r="D11" s="21">
        <v>2395</v>
      </c>
      <c r="E11" s="21">
        <v>1131</v>
      </c>
      <c r="F11" s="21">
        <v>970</v>
      </c>
      <c r="G11" s="21">
        <v>1267</v>
      </c>
      <c r="H11" s="19">
        <v>1684</v>
      </c>
      <c r="I11" s="21"/>
      <c r="J11" s="21">
        <v>387</v>
      </c>
      <c r="K11" s="21">
        <v>297</v>
      </c>
      <c r="L11" s="21">
        <v>227</v>
      </c>
      <c r="M11" s="21">
        <v>219</v>
      </c>
      <c r="N11" s="21">
        <v>215</v>
      </c>
      <c r="O11" s="21">
        <v>241</v>
      </c>
      <c r="P11" s="21">
        <v>269</v>
      </c>
      <c r="Q11" s="21">
        <v>245</v>
      </c>
      <c r="R11" s="21">
        <v>263</v>
      </c>
      <c r="S11" s="21">
        <v>281</v>
      </c>
      <c r="T11" s="21">
        <v>342</v>
      </c>
      <c r="U11" s="21">
        <v>381</v>
      </c>
      <c r="V11" s="21">
        <v>381</v>
      </c>
      <c r="W11" s="21">
        <v>416</v>
      </c>
      <c r="X11" s="19">
        <v>444</v>
      </c>
      <c r="Y11" s="19">
        <v>443</v>
      </c>
      <c r="Z11" s="307">
        <v>437</v>
      </c>
      <c r="AA11" s="19">
        <f t="shared" si="1"/>
        <v>-1.3544018058690765</v>
      </c>
      <c r="AB11" s="121">
        <f t="shared" si="2"/>
        <v>14.698162729658804</v>
      </c>
      <c r="AC11" s="34"/>
      <c r="AD11" s="19">
        <v>1267</v>
      </c>
      <c r="AE11" s="431">
        <f t="shared" si="0"/>
        <v>1678</v>
      </c>
      <c r="AF11" s="19">
        <f t="shared" si="3"/>
        <v>32.43883188634571</v>
      </c>
      <c r="AG11" s="31"/>
      <c r="AH11" s="34"/>
      <c r="AI11" s="31"/>
      <c r="AJ11" s="34"/>
      <c r="AK11" s="34"/>
    </row>
    <row r="12" spans="3:37" s="36" customFormat="1" ht="15">
      <c r="C12" s="36" t="s">
        <v>22</v>
      </c>
      <c r="D12" s="21">
        <v>1426</v>
      </c>
      <c r="E12" s="21">
        <v>528</v>
      </c>
      <c r="F12" s="21">
        <v>411</v>
      </c>
      <c r="G12" s="21">
        <v>463</v>
      </c>
      <c r="H12" s="19">
        <v>652</v>
      </c>
      <c r="I12" s="21"/>
      <c r="J12" s="21">
        <v>192</v>
      </c>
      <c r="K12" s="21">
        <v>134</v>
      </c>
      <c r="L12" s="21">
        <v>112</v>
      </c>
      <c r="M12" s="21">
        <v>91</v>
      </c>
      <c r="N12" s="21">
        <v>91</v>
      </c>
      <c r="O12" s="21">
        <v>101</v>
      </c>
      <c r="P12" s="21">
        <v>109</v>
      </c>
      <c r="Q12" s="21">
        <v>110</v>
      </c>
      <c r="R12" s="21">
        <v>100</v>
      </c>
      <c r="S12" s="21">
        <v>100</v>
      </c>
      <c r="T12" s="21">
        <v>120</v>
      </c>
      <c r="U12" s="21">
        <v>143</v>
      </c>
      <c r="V12" s="21">
        <v>153</v>
      </c>
      <c r="W12" s="21">
        <v>172</v>
      </c>
      <c r="X12" s="19">
        <v>163</v>
      </c>
      <c r="Y12" s="19">
        <v>164</v>
      </c>
      <c r="Z12" s="307">
        <v>156</v>
      </c>
      <c r="AA12" s="19">
        <f t="shared" si="1"/>
        <v>-4.878048780487809</v>
      </c>
      <c r="AB12" s="121">
        <f t="shared" si="2"/>
        <v>1.9607843137254832</v>
      </c>
      <c r="AC12" s="34"/>
      <c r="AD12" s="19">
        <v>463</v>
      </c>
      <c r="AE12" s="431">
        <f t="shared" si="0"/>
        <v>644</v>
      </c>
      <c r="AF12" s="19">
        <f>IF(AND(AE12=0,AD12=0),0,IF(OR(AND(AE12&gt;0,AD12&lt;=0),AND(AE12&lt;0,AD12&gt;=0)),"nm",IF(AND(AE12&lt;0,AD12&lt;0),IF(-(AE12/AD12-1)*100&lt;-100,"(&gt;100)",-(AE12/AD12-1)*100),IF((AE12/AD12-1)*100&gt;100,"&gt;100",(AE12/AD12-1)*100))))</f>
        <v>39.09287257019438</v>
      </c>
      <c r="AG12" s="31"/>
      <c r="AH12" s="34"/>
      <c r="AI12" s="31"/>
      <c r="AJ12" s="34"/>
      <c r="AK12" s="34"/>
    </row>
    <row r="13" spans="3:33" ht="15">
      <c r="C13" s="33"/>
      <c r="D13" s="21"/>
      <c r="H13" s="19"/>
      <c r="R13" s="295"/>
      <c r="S13" s="295"/>
      <c r="T13" s="295"/>
      <c r="U13" s="295"/>
      <c r="V13" s="295"/>
      <c r="W13" s="295"/>
      <c r="X13" s="19"/>
      <c r="Y13" s="19"/>
      <c r="AA13" s="19"/>
      <c r="AB13" s="19"/>
      <c r="AC13" s="23"/>
      <c r="AD13" s="19"/>
      <c r="AE13" s="16"/>
      <c r="AF13" s="19"/>
      <c r="AG13" s="31"/>
    </row>
    <row r="14" spans="1:33" s="24" customFormat="1" ht="15">
      <c r="A14" s="88" t="s">
        <v>29</v>
      </c>
      <c r="D14" s="15"/>
      <c r="E14" s="15"/>
      <c r="F14" s="15"/>
      <c r="G14" s="15"/>
      <c r="H14" s="15"/>
      <c r="I14" s="15"/>
      <c r="J14" s="15"/>
      <c r="K14" s="15"/>
      <c r="L14" s="15"/>
      <c r="M14" s="15"/>
      <c r="N14" s="15"/>
      <c r="O14" s="15"/>
      <c r="P14" s="15"/>
      <c r="Q14" s="15"/>
      <c r="R14" s="15"/>
      <c r="S14" s="15"/>
      <c r="T14" s="15"/>
      <c r="U14" s="15"/>
      <c r="V14" s="15"/>
      <c r="W14" s="15"/>
      <c r="X14" s="15"/>
      <c r="Y14" s="15"/>
      <c r="Z14" s="16"/>
      <c r="AA14" s="15"/>
      <c r="AB14" s="15"/>
      <c r="AD14" s="15"/>
      <c r="AE14" s="16"/>
      <c r="AF14" s="15"/>
      <c r="AG14" s="31"/>
    </row>
    <row r="15" spans="2:32" s="31" customFormat="1" ht="15">
      <c r="B15" s="31" t="s">
        <v>16</v>
      </c>
      <c r="D15" s="15">
        <v>210460</v>
      </c>
      <c r="E15" s="15">
        <v>220645</v>
      </c>
      <c r="F15" s="15">
        <v>234707</v>
      </c>
      <c r="G15" s="15">
        <v>272934</v>
      </c>
      <c r="H15" s="15">
        <v>311245</v>
      </c>
      <c r="I15" s="15"/>
      <c r="J15" s="15">
        <v>219123</v>
      </c>
      <c r="K15" s="15">
        <f>K16+K17+K18</f>
        <v>221667</v>
      </c>
      <c r="L15" s="15">
        <v>222325</v>
      </c>
      <c r="M15" s="15">
        <v>221462</v>
      </c>
      <c r="N15" s="15">
        <v>224393</v>
      </c>
      <c r="O15" s="15">
        <v>232950</v>
      </c>
      <c r="P15" s="15">
        <v>237792</v>
      </c>
      <c r="Q15" s="15">
        <v>244503</v>
      </c>
      <c r="R15" s="296">
        <v>252722</v>
      </c>
      <c r="S15" s="296">
        <v>266348</v>
      </c>
      <c r="T15" s="296">
        <v>278383</v>
      </c>
      <c r="U15" s="296">
        <v>295148</v>
      </c>
      <c r="V15" s="296">
        <v>303630</v>
      </c>
      <c r="W15" s="296">
        <v>308625</v>
      </c>
      <c r="X15" s="296">
        <v>317627</v>
      </c>
      <c r="Y15" s="296">
        <v>316462</v>
      </c>
      <c r="Z15" s="432">
        <v>328566</v>
      </c>
      <c r="AA15" s="15">
        <f aca="true" t="shared" si="4" ref="AA15:AA21">IF(AND(Z15=0,Y15=0),0,IF(OR(AND(Z15&gt;0,Y15&lt;=0),AND(Z15&lt;0,Y15&gt;=0)),"nm",IF(AND(Z15&lt;0,Y15&lt;0),IF(-(Z15/Y15-1)*100&lt;-100,"(&gt;100)",-(Z15/Y15-1)*100),IF((Z15/Y15-1)*100&gt;100,"&gt;100",(Z15/Y15-1)*100))))</f>
        <v>3.824787810226815</v>
      </c>
      <c r="AB15" s="17">
        <f aca="true" t="shared" si="5" ref="AB15:AB21">IF(AND(Z15=0,V15=0),0,IF(OR(AND(Z15&gt;0,V15&lt;=0),AND(Z15&lt;0,V15&gt;=0)),"nm",IF(AND(Z15&lt;0,V15&lt;0),IF(-(Z15/V15-1)*100&lt;-100,"(&gt;100)",-(Z15/V15-1)*100),IF((Z15/V15-1)*100&gt;100,"&gt;100",(Z15/V15-1)*100))))</f>
        <v>8.212627210749934</v>
      </c>
      <c r="AD15" s="15">
        <v>272934</v>
      </c>
      <c r="AE15" s="432">
        <f>SUM(AE16:AE18)</f>
        <v>311245</v>
      </c>
      <c r="AF15" s="15">
        <f>IF(AND(AE15=0,AD15=0),0,IF(OR(AND(AE15&gt;0,AD15&lt;=0),AND(AE15&lt;0,AD15&gt;=0)),"nm",IF(AND(AE15&lt;0,AD15&lt;0),IF(-(AE15/AD15-1)*100&lt;-100,"(&gt;100)",-(AE15/AD15-1)*100),IF((AE15/AD15-1)*100&gt;100,"&gt;100",(AE15/AD15-1)*100))))</f>
        <v>14.03672682773125</v>
      </c>
    </row>
    <row r="16" spans="3:33" s="36" customFormat="1" ht="15">
      <c r="C16" s="36" t="s">
        <v>17</v>
      </c>
      <c r="D16" s="21">
        <v>118614</v>
      </c>
      <c r="E16" s="21">
        <v>127832</v>
      </c>
      <c r="F16" s="21">
        <v>141245</v>
      </c>
      <c r="G16" s="21">
        <v>169397</v>
      </c>
      <c r="H16" s="19">
        <v>200976</v>
      </c>
      <c r="I16" s="21"/>
      <c r="J16" s="21">
        <v>128695</v>
      </c>
      <c r="K16" s="21">
        <v>127447</v>
      </c>
      <c r="L16" s="21">
        <v>127454</v>
      </c>
      <c r="M16" s="21">
        <v>128152</v>
      </c>
      <c r="N16" s="21">
        <v>132388</v>
      </c>
      <c r="O16" s="21">
        <v>138617</v>
      </c>
      <c r="P16" s="21">
        <v>145902</v>
      </c>
      <c r="Q16" s="21">
        <v>149104</v>
      </c>
      <c r="R16" s="297">
        <v>154232</v>
      </c>
      <c r="S16" s="297">
        <v>161278</v>
      </c>
      <c r="T16" s="297">
        <v>173409</v>
      </c>
      <c r="U16" s="297">
        <v>189292</v>
      </c>
      <c r="V16" s="297">
        <v>194566</v>
      </c>
      <c r="W16" s="297">
        <v>201099</v>
      </c>
      <c r="X16" s="433">
        <v>204122</v>
      </c>
      <c r="Y16" s="433">
        <v>204701</v>
      </c>
      <c r="Z16" s="434">
        <v>218702</v>
      </c>
      <c r="AA16" s="19">
        <f t="shared" si="4"/>
        <v>6.839732097058637</v>
      </c>
      <c r="AB16" s="121">
        <f t="shared" si="5"/>
        <v>12.405045074679034</v>
      </c>
      <c r="AC16" s="34"/>
      <c r="AD16" s="19">
        <v>169397</v>
      </c>
      <c r="AE16" s="434">
        <f>ROUND('[1]GRP 12M12 VS 12M11'!$C$11/1000,0)</f>
        <v>200976</v>
      </c>
      <c r="AF16" s="19">
        <f aca="true" t="shared" si="6" ref="AF16:AF21">IF(AND(AE16=0,AD16=0),0,IF(OR(AND(AE16&gt;0,AD16&lt;=0),AND(AE16&lt;0,AD16&gt;=0)),"nm",IF(AND(AE16&lt;0,AD16&lt;0),IF(-(AE16/AD16-1)*100&lt;-100,"(&gt;100)",-(AE16/AD16-1)*100),IF((AE16/AD16-1)*100&gt;100,"&gt;100",(AE16/AD16-1)*100))))</f>
        <v>18.642006647107088</v>
      </c>
      <c r="AG16" s="31"/>
    </row>
    <row r="17" spans="3:33" s="36" customFormat="1" ht="15">
      <c r="C17" s="36" t="s">
        <v>18</v>
      </c>
      <c r="D17" s="21">
        <v>39818</v>
      </c>
      <c r="E17" s="21">
        <v>41782</v>
      </c>
      <c r="F17" s="21">
        <v>43190</v>
      </c>
      <c r="G17" s="21">
        <v>51575</v>
      </c>
      <c r="H17" s="19">
        <v>50140</v>
      </c>
      <c r="I17" s="21"/>
      <c r="J17" s="21">
        <v>41384</v>
      </c>
      <c r="K17" s="21">
        <v>42582</v>
      </c>
      <c r="L17" s="21">
        <v>42410</v>
      </c>
      <c r="M17" s="21">
        <v>41697</v>
      </c>
      <c r="N17" s="21">
        <v>42548</v>
      </c>
      <c r="O17" s="21">
        <v>43195</v>
      </c>
      <c r="P17" s="21">
        <v>40880</v>
      </c>
      <c r="Q17" s="21">
        <v>46548</v>
      </c>
      <c r="R17" s="297">
        <v>49926</v>
      </c>
      <c r="S17" s="297">
        <v>53737</v>
      </c>
      <c r="T17" s="297">
        <v>51543</v>
      </c>
      <c r="U17" s="297">
        <v>51118</v>
      </c>
      <c r="V17" s="297">
        <v>50895</v>
      </c>
      <c r="W17" s="297">
        <v>47971</v>
      </c>
      <c r="X17" s="433">
        <v>53988</v>
      </c>
      <c r="Y17" s="433">
        <v>48659</v>
      </c>
      <c r="Z17" s="434">
        <v>44935</v>
      </c>
      <c r="AA17" s="19">
        <f t="shared" si="4"/>
        <v>-7.653260445138621</v>
      </c>
      <c r="AB17" s="121">
        <f t="shared" si="5"/>
        <v>-11.710384124177232</v>
      </c>
      <c r="AC17" s="34"/>
      <c r="AD17" s="19">
        <v>51575</v>
      </c>
      <c r="AE17" s="434">
        <f>ROUND('[1]GRP 12M12 VS 12M11'!$C$9/1000,0)</f>
        <v>50140</v>
      </c>
      <c r="AF17" s="19">
        <f>IF(AND(AE17=0,AD17=0),0,IF(OR(AND(AE17&gt;0,AD17&lt;=0),AND(AE17&lt;0,AD17&gt;=0)),"nm",IF(AND(AE17&lt;0,AD17&lt;0),IF(-(AE17/AD17-1)*100&lt;-100,"(&gt;100)",-(AE17/AD17-1)*100),IF((AE17/AD17-1)*100&gt;100,"&gt;100",(AE17/AD17-1)*100))))</f>
        <v>-2.7823557925351405</v>
      </c>
      <c r="AG17" s="31"/>
    </row>
    <row r="18" spans="3:33" s="36" customFormat="1" ht="15">
      <c r="C18" s="36" t="s">
        <v>19</v>
      </c>
      <c r="D18" s="21">
        <v>52028</v>
      </c>
      <c r="E18" s="21">
        <v>51031</v>
      </c>
      <c r="F18" s="21">
        <v>50272</v>
      </c>
      <c r="G18" s="21">
        <v>51962</v>
      </c>
      <c r="H18" s="19">
        <v>60129</v>
      </c>
      <c r="I18" s="21"/>
      <c r="J18" s="21">
        <v>49044</v>
      </c>
      <c r="K18" s="21">
        <v>51638</v>
      </c>
      <c r="L18" s="21">
        <v>52461</v>
      </c>
      <c r="M18" s="21">
        <v>51613</v>
      </c>
      <c r="N18" s="21">
        <v>49457</v>
      </c>
      <c r="O18" s="21">
        <v>51138</v>
      </c>
      <c r="P18" s="21">
        <v>51010</v>
      </c>
      <c r="Q18" s="21">
        <v>48851</v>
      </c>
      <c r="R18" s="297">
        <v>48564</v>
      </c>
      <c r="S18" s="297">
        <v>51333</v>
      </c>
      <c r="T18" s="297">
        <v>53431</v>
      </c>
      <c r="U18" s="297">
        <v>54738</v>
      </c>
      <c r="V18" s="297">
        <v>58169</v>
      </c>
      <c r="W18" s="297">
        <v>59555</v>
      </c>
      <c r="X18" s="433">
        <v>59517</v>
      </c>
      <c r="Y18" s="433">
        <v>63102</v>
      </c>
      <c r="Z18" s="434">
        <v>64929</v>
      </c>
      <c r="AA18" s="19">
        <f t="shared" si="4"/>
        <v>2.895312351431012</v>
      </c>
      <c r="AB18" s="121">
        <f t="shared" si="5"/>
        <v>11.621310319929856</v>
      </c>
      <c r="AC18" s="34"/>
      <c r="AD18" s="19">
        <v>51962</v>
      </c>
      <c r="AE18" s="434">
        <f>ROUND('[1]GRP 12M12 VS 12M11'!$C$13/1000,0)</f>
        <v>60129</v>
      </c>
      <c r="AF18" s="19">
        <f t="shared" si="6"/>
        <v>15.71725491705478</v>
      </c>
      <c r="AG18" s="31"/>
    </row>
    <row r="19" spans="2:32" s="31" customFormat="1" ht="15">
      <c r="B19" s="31" t="s">
        <v>20</v>
      </c>
      <c r="D19" s="15">
        <v>199865</v>
      </c>
      <c r="E19" s="15">
        <v>204336</v>
      </c>
      <c r="F19" s="15">
        <v>215626</v>
      </c>
      <c r="G19" s="15">
        <v>251411</v>
      </c>
      <c r="H19" s="15">
        <v>287904</v>
      </c>
      <c r="I19" s="15"/>
      <c r="J19" s="15">
        <v>203691</v>
      </c>
      <c r="K19" s="15">
        <f>K20+K21</f>
        <v>206050</v>
      </c>
      <c r="L19" s="15">
        <v>205904</v>
      </c>
      <c r="M19" s="15">
        <v>203560</v>
      </c>
      <c r="N19" s="15">
        <v>206483</v>
      </c>
      <c r="O19" s="15">
        <v>214221</v>
      </c>
      <c r="P19" s="15">
        <v>218581</v>
      </c>
      <c r="Q19" s="15">
        <v>224126</v>
      </c>
      <c r="R19" s="296">
        <v>231711</v>
      </c>
      <c r="S19" s="296">
        <v>245246</v>
      </c>
      <c r="T19" s="296">
        <v>257046</v>
      </c>
      <c r="U19" s="296">
        <v>272616</v>
      </c>
      <c r="V19" s="296">
        <v>281437</v>
      </c>
      <c r="W19" s="296">
        <v>285228</v>
      </c>
      <c r="X19" s="296">
        <v>293945</v>
      </c>
      <c r="Y19" s="296">
        <v>292372</v>
      </c>
      <c r="Z19" s="432">
        <v>304506</v>
      </c>
      <c r="AA19" s="15">
        <f t="shared" si="4"/>
        <v>4.150192220869298</v>
      </c>
      <c r="AB19" s="17">
        <f t="shared" si="5"/>
        <v>8.196861109235808</v>
      </c>
      <c r="AD19" s="15">
        <v>251411</v>
      </c>
      <c r="AE19" s="432">
        <f>SUM(AE20:AE21)</f>
        <v>287904</v>
      </c>
      <c r="AF19" s="15">
        <f t="shared" si="6"/>
        <v>14.515275783478042</v>
      </c>
    </row>
    <row r="20" spans="3:33" s="36" customFormat="1" ht="15">
      <c r="C20" s="36" t="s">
        <v>21</v>
      </c>
      <c r="D20" s="21">
        <v>161379</v>
      </c>
      <c r="E20" s="21">
        <v>178064</v>
      </c>
      <c r="F20" s="21">
        <v>184792</v>
      </c>
      <c r="G20" s="21">
        <v>209196</v>
      </c>
      <c r="H20" s="19">
        <v>233866</v>
      </c>
      <c r="I20" s="21"/>
      <c r="J20" s="21">
        <v>175464</v>
      </c>
      <c r="K20" s="21">
        <v>177983</v>
      </c>
      <c r="L20" s="21">
        <v>179319</v>
      </c>
      <c r="M20" s="21">
        <v>180701</v>
      </c>
      <c r="N20" s="21">
        <v>181335</v>
      </c>
      <c r="O20" s="21">
        <v>182951</v>
      </c>
      <c r="P20" s="21">
        <v>184815</v>
      </c>
      <c r="Q20" s="21">
        <v>189502</v>
      </c>
      <c r="R20" s="297">
        <v>195404</v>
      </c>
      <c r="S20" s="297">
        <v>205628</v>
      </c>
      <c r="T20" s="297">
        <v>213303</v>
      </c>
      <c r="U20" s="297">
        <v>222999</v>
      </c>
      <c r="V20" s="297">
        <v>228621</v>
      </c>
      <c r="W20" s="297">
        <v>229600</v>
      </c>
      <c r="X20" s="433">
        <v>236021</v>
      </c>
      <c r="Y20" s="433">
        <v>241554</v>
      </c>
      <c r="Z20" s="434">
        <v>250702</v>
      </c>
      <c r="AA20" s="19">
        <f t="shared" si="4"/>
        <v>3.78714490341705</v>
      </c>
      <c r="AB20" s="121">
        <f t="shared" si="5"/>
        <v>9.658342846895085</v>
      </c>
      <c r="AC20" s="34"/>
      <c r="AD20" s="19">
        <v>209196</v>
      </c>
      <c r="AE20" s="434">
        <f>ROUND('[1]GRP 12M12 VS 12M11'!$C$32/1000,0)</f>
        <v>233866</v>
      </c>
      <c r="AF20" s="19">
        <f>IF(AND(AE20=0,AD20=0),0,IF(OR(AND(AE20&gt;0,AD20&lt;=0),AND(AE20&lt;0,AD20&gt;=0)),"nm",IF(AND(AE20&lt;0,AD20&lt;0),IF(-(AE20/AD20-1)*100&lt;-100,"(&gt;100)",-(AE20/AD20-1)*100),IF((AE20/AD20-1)*100&gt;100,"&gt;100",(AE20/AD20-1)*100))))</f>
        <v>11.792768504177896</v>
      </c>
      <c r="AG20" s="31"/>
    </row>
    <row r="21" spans="3:33" s="36" customFormat="1" ht="15">
      <c r="C21" s="36" t="s">
        <v>22</v>
      </c>
      <c r="D21" s="21">
        <v>38486</v>
      </c>
      <c r="E21" s="21">
        <v>26272</v>
      </c>
      <c r="F21" s="21">
        <v>30834</v>
      </c>
      <c r="G21" s="21">
        <v>42215</v>
      </c>
      <c r="H21" s="19">
        <v>54038</v>
      </c>
      <c r="I21" s="21"/>
      <c r="J21" s="21">
        <v>28227</v>
      </c>
      <c r="K21" s="21">
        <v>28067</v>
      </c>
      <c r="L21" s="21">
        <v>26585</v>
      </c>
      <c r="M21" s="21">
        <v>22859</v>
      </c>
      <c r="N21" s="21">
        <v>25148</v>
      </c>
      <c r="O21" s="21">
        <v>31270</v>
      </c>
      <c r="P21" s="21">
        <v>33766</v>
      </c>
      <c r="Q21" s="21">
        <v>34624</v>
      </c>
      <c r="R21" s="297">
        <v>36307</v>
      </c>
      <c r="S21" s="297">
        <v>39618</v>
      </c>
      <c r="T21" s="297">
        <v>43743</v>
      </c>
      <c r="U21" s="297">
        <v>49617</v>
      </c>
      <c r="V21" s="297">
        <v>52816</v>
      </c>
      <c r="W21" s="297">
        <v>55628</v>
      </c>
      <c r="X21" s="433">
        <v>57924</v>
      </c>
      <c r="Y21" s="433">
        <v>50818</v>
      </c>
      <c r="Z21" s="434">
        <v>53804</v>
      </c>
      <c r="AA21" s="19">
        <f t="shared" si="4"/>
        <v>5.87587075445708</v>
      </c>
      <c r="AB21" s="121">
        <f t="shared" si="5"/>
        <v>1.8706452590124156</v>
      </c>
      <c r="AC21" s="34"/>
      <c r="AD21" s="19">
        <v>42215</v>
      </c>
      <c r="AE21" s="434">
        <f>ROUND('[1]GRP 12M12 VS 12M11'!$C$30/1000,0)</f>
        <v>54038</v>
      </c>
      <c r="AF21" s="19">
        <f t="shared" si="6"/>
        <v>28.006632713490465</v>
      </c>
      <c r="AG21" s="31"/>
    </row>
    <row r="22" spans="3:33" ht="15">
      <c r="C22" s="6"/>
      <c r="D22" s="76"/>
      <c r="H22" s="19"/>
      <c r="X22" s="19"/>
      <c r="Y22" s="19"/>
      <c r="AA22" s="19"/>
      <c r="AB22" s="19"/>
      <c r="AC22" s="23"/>
      <c r="AD22" s="19"/>
      <c r="AF22" s="19"/>
      <c r="AG22" s="31"/>
    </row>
    <row r="23" spans="1:33" s="27" customFormat="1" ht="15">
      <c r="A23" s="48" t="s">
        <v>28</v>
      </c>
      <c r="D23" s="54"/>
      <c r="E23" s="54"/>
      <c r="F23" s="54"/>
      <c r="G23" s="54"/>
      <c r="H23" s="54"/>
      <c r="I23" s="54"/>
      <c r="J23" s="54"/>
      <c r="K23" s="54"/>
      <c r="L23" s="54"/>
      <c r="M23" s="54"/>
      <c r="N23" s="54"/>
      <c r="O23" s="54"/>
      <c r="P23" s="54"/>
      <c r="Q23" s="54"/>
      <c r="R23" s="303"/>
      <c r="S23" s="303"/>
      <c r="T23" s="303"/>
      <c r="U23" s="303"/>
      <c r="V23" s="303"/>
      <c r="W23" s="303"/>
      <c r="X23" s="54"/>
      <c r="Y23" s="54"/>
      <c r="Z23" s="435"/>
      <c r="AA23" s="54"/>
      <c r="AB23" s="54"/>
      <c r="AD23" s="54"/>
      <c r="AE23" s="435"/>
      <c r="AF23" s="54"/>
      <c r="AG23" s="31"/>
    </row>
    <row r="24" spans="1:33" s="57" customFormat="1" ht="15">
      <c r="A24" s="57" t="s">
        <v>173</v>
      </c>
      <c r="D24" s="54">
        <v>2.04</v>
      </c>
      <c r="E24" s="54">
        <v>2.02</v>
      </c>
      <c r="F24" s="54">
        <v>1.84</v>
      </c>
      <c r="G24" s="54">
        <v>1.77</v>
      </c>
      <c r="H24" s="54">
        <v>1.7</v>
      </c>
      <c r="I24" s="54"/>
      <c r="J24" s="54">
        <v>1.99</v>
      </c>
      <c r="K24" s="116">
        <v>2.01</v>
      </c>
      <c r="L24" s="116">
        <v>2.03</v>
      </c>
      <c r="M24" s="116">
        <v>2.02</v>
      </c>
      <c r="N24" s="116">
        <v>1.93</v>
      </c>
      <c r="O24" s="116">
        <v>1.84</v>
      </c>
      <c r="P24" s="116">
        <v>1.8</v>
      </c>
      <c r="Q24" s="116">
        <v>1.79</v>
      </c>
      <c r="R24" s="304">
        <v>1.8</v>
      </c>
      <c r="S24" s="304">
        <v>1.8</v>
      </c>
      <c r="T24" s="304">
        <v>1.73</v>
      </c>
      <c r="U24" s="304">
        <v>1.73</v>
      </c>
      <c r="V24" s="304">
        <v>1.77</v>
      </c>
      <c r="W24" s="304">
        <v>1.72</v>
      </c>
      <c r="X24" s="304">
        <v>1.67</v>
      </c>
      <c r="Y24" s="304">
        <v>1.62</v>
      </c>
      <c r="Z24" s="436">
        <v>1.64</v>
      </c>
      <c r="AA24" s="54">
        <f>Z24-Y24</f>
        <v>0.019999999999999796</v>
      </c>
      <c r="AB24" s="54">
        <f>Z24-V24</f>
        <v>-0.13000000000000012</v>
      </c>
      <c r="AD24" s="54">
        <v>1.77</v>
      </c>
      <c r="AE24" s="436">
        <f>ROUND('[1]GRP 12M12 VS 12M11'!$E$53,2)</f>
        <v>1.7</v>
      </c>
      <c r="AF24" s="54">
        <f>AE24-AD24</f>
        <v>-0.07000000000000006</v>
      </c>
      <c r="AG24" s="31"/>
    </row>
    <row r="25" spans="2:33" s="27" customFormat="1" ht="15">
      <c r="B25" s="27" t="s">
        <v>46</v>
      </c>
      <c r="D25" s="54">
        <v>3.86</v>
      </c>
      <c r="E25" s="54">
        <v>2.78</v>
      </c>
      <c r="F25" s="54">
        <v>2.43</v>
      </c>
      <c r="G25" s="54">
        <v>2.4</v>
      </c>
      <c r="H25" s="54">
        <v>2.45</v>
      </c>
      <c r="I25" s="54"/>
      <c r="J25" s="54">
        <v>3.06</v>
      </c>
      <c r="K25" s="54">
        <v>2.79</v>
      </c>
      <c r="L25" s="54">
        <v>2.64</v>
      </c>
      <c r="M25" s="54">
        <v>2.57</v>
      </c>
      <c r="N25" s="54">
        <v>2.48</v>
      </c>
      <c r="O25" s="54">
        <v>2.43</v>
      </c>
      <c r="P25" s="54">
        <v>2.43</v>
      </c>
      <c r="Q25" s="54">
        <v>2.37</v>
      </c>
      <c r="R25" s="9">
        <v>2.38</v>
      </c>
      <c r="S25" s="9">
        <v>2.38</v>
      </c>
      <c r="T25" s="9">
        <v>2.38</v>
      </c>
      <c r="U25" s="9">
        <v>2.44</v>
      </c>
      <c r="V25" s="9">
        <v>2.48</v>
      </c>
      <c r="W25" s="9">
        <v>2.49</v>
      </c>
      <c r="X25" s="9">
        <v>2.43</v>
      </c>
      <c r="Y25" s="9">
        <v>2.39</v>
      </c>
      <c r="Z25" s="436">
        <v>2.37</v>
      </c>
      <c r="AA25" s="54">
        <f aca="true" t="shared" si="7" ref="AA25:AA31">Z25-Y25</f>
        <v>-0.020000000000000018</v>
      </c>
      <c r="AB25" s="54">
        <f aca="true" t="shared" si="8" ref="AB25:AB31">Z25-V25</f>
        <v>-0.10999999999999988</v>
      </c>
      <c r="AD25" s="54">
        <v>2.4</v>
      </c>
      <c r="AE25" s="436">
        <f>ROUND('[1]GRP 12M12 VS 12M11'!$E$15,2)</f>
        <v>2.45</v>
      </c>
      <c r="AF25" s="54">
        <f aca="true" t="shared" si="9" ref="AF25:AF31">AE25-AD25</f>
        <v>0.050000000000000266</v>
      </c>
      <c r="AG25" s="31"/>
    </row>
    <row r="26" spans="3:33" s="56" customFormat="1" ht="15">
      <c r="C26" s="56" t="s">
        <v>17</v>
      </c>
      <c r="D26" s="51">
        <v>4.25</v>
      </c>
      <c r="E26" s="51">
        <v>3.2</v>
      </c>
      <c r="F26" s="51">
        <v>2.79</v>
      </c>
      <c r="G26" s="51">
        <v>2.7</v>
      </c>
      <c r="H26" s="308">
        <v>2.81</v>
      </c>
      <c r="I26" s="51"/>
      <c r="J26" s="51">
        <v>3.49</v>
      </c>
      <c r="K26" s="51">
        <v>3.2</v>
      </c>
      <c r="L26" s="51">
        <v>3.06</v>
      </c>
      <c r="M26" s="51">
        <v>3</v>
      </c>
      <c r="N26" s="51">
        <v>2.86</v>
      </c>
      <c r="O26" s="51">
        <v>2.85</v>
      </c>
      <c r="P26" s="51">
        <v>2.74</v>
      </c>
      <c r="Q26" s="51">
        <v>2.69</v>
      </c>
      <c r="R26" s="76">
        <v>2.68</v>
      </c>
      <c r="S26" s="76">
        <v>2.68</v>
      </c>
      <c r="T26" s="76">
        <v>2.69</v>
      </c>
      <c r="U26" s="76">
        <v>2.72</v>
      </c>
      <c r="V26" s="76">
        <v>2.84</v>
      </c>
      <c r="W26" s="76">
        <v>2.82</v>
      </c>
      <c r="X26" s="126">
        <v>2.8</v>
      </c>
      <c r="Y26" s="126">
        <v>2.77</v>
      </c>
      <c r="Z26" s="489">
        <v>2.72</v>
      </c>
      <c r="AA26" s="308">
        <f t="shared" si="7"/>
        <v>-0.04999999999999982</v>
      </c>
      <c r="AB26" s="308">
        <f t="shared" si="8"/>
        <v>-0.11999999999999966</v>
      </c>
      <c r="AC26" s="59"/>
      <c r="AD26" s="308">
        <v>2.7</v>
      </c>
      <c r="AE26" s="437">
        <f>ROUND('[1]GRP 12M12 VS 12M11'!$E$11,2)</f>
        <v>2.81</v>
      </c>
      <c r="AF26" s="308">
        <f t="shared" si="9"/>
        <v>0.10999999999999988</v>
      </c>
      <c r="AG26" s="31"/>
    </row>
    <row r="27" spans="3:33" s="56" customFormat="1" ht="15">
      <c r="C27" s="56" t="s">
        <v>18</v>
      </c>
      <c r="D27" s="51">
        <v>2.32</v>
      </c>
      <c r="E27" s="51">
        <v>0.91</v>
      </c>
      <c r="F27" s="51">
        <v>0.83</v>
      </c>
      <c r="G27" s="51">
        <v>1.03</v>
      </c>
      <c r="H27" s="308">
        <v>0.99</v>
      </c>
      <c r="I27" s="51"/>
      <c r="J27" s="51">
        <v>1.05</v>
      </c>
      <c r="K27" s="51">
        <v>0.9</v>
      </c>
      <c r="L27" s="51">
        <v>0.88</v>
      </c>
      <c r="M27" s="51">
        <v>0.78</v>
      </c>
      <c r="N27" s="51">
        <v>0.71</v>
      </c>
      <c r="O27" s="51">
        <v>0.76</v>
      </c>
      <c r="P27" s="51">
        <v>0.95</v>
      </c>
      <c r="Q27" s="51">
        <v>0.9</v>
      </c>
      <c r="R27" s="305">
        <v>1</v>
      </c>
      <c r="S27" s="305">
        <v>0.95</v>
      </c>
      <c r="T27" s="305">
        <v>1.09</v>
      </c>
      <c r="U27" s="305">
        <v>1.09</v>
      </c>
      <c r="V27" s="305">
        <v>0.94</v>
      </c>
      <c r="W27" s="305">
        <v>1.01</v>
      </c>
      <c r="X27" s="438">
        <v>1.02</v>
      </c>
      <c r="Y27" s="438">
        <v>0.96</v>
      </c>
      <c r="Z27" s="489">
        <v>0.99</v>
      </c>
      <c r="AA27" s="308">
        <f t="shared" si="7"/>
        <v>0.030000000000000027</v>
      </c>
      <c r="AB27" s="308">
        <f t="shared" si="8"/>
        <v>0.050000000000000044</v>
      </c>
      <c r="AC27" s="59"/>
      <c r="AD27" s="308">
        <v>1.03</v>
      </c>
      <c r="AE27" s="437">
        <f>ROUND('[1]GRP 12M12 VS 12M11'!$E$9,2)</f>
        <v>0.99</v>
      </c>
      <c r="AF27" s="308">
        <f t="shared" si="9"/>
        <v>-0.040000000000000036</v>
      </c>
      <c r="AG27" s="31"/>
    </row>
    <row r="28" spans="3:33" s="56" customFormat="1" ht="15">
      <c r="C28" s="56" t="s">
        <v>19</v>
      </c>
      <c r="D28" s="51">
        <v>4.11</v>
      </c>
      <c r="E28" s="51">
        <v>3.26</v>
      </c>
      <c r="F28" s="51">
        <v>2.79</v>
      </c>
      <c r="G28" s="51">
        <v>2.79</v>
      </c>
      <c r="H28" s="308">
        <v>2.46</v>
      </c>
      <c r="I28" s="51"/>
      <c r="J28" s="51">
        <v>3.65</v>
      </c>
      <c r="K28" s="51">
        <v>3.34</v>
      </c>
      <c r="L28" s="51">
        <v>3.05</v>
      </c>
      <c r="M28" s="51">
        <v>2.97</v>
      </c>
      <c r="N28" s="51">
        <v>2.98</v>
      </c>
      <c r="O28" s="51">
        <v>2.69</v>
      </c>
      <c r="P28" s="51">
        <v>2.73</v>
      </c>
      <c r="Q28" s="51">
        <v>2.79</v>
      </c>
      <c r="R28" s="76">
        <v>2.87</v>
      </c>
      <c r="S28" s="76">
        <v>2.92</v>
      </c>
      <c r="T28" s="76">
        <v>2.67</v>
      </c>
      <c r="U28" s="76">
        <v>2.72</v>
      </c>
      <c r="V28" s="76">
        <v>2.61</v>
      </c>
      <c r="W28" s="76">
        <v>2.57</v>
      </c>
      <c r="X28" s="126">
        <v>2.45</v>
      </c>
      <c r="Y28" s="126">
        <v>2.25</v>
      </c>
      <c r="Z28" s="489">
        <v>2.14</v>
      </c>
      <c r="AA28" s="308">
        <f t="shared" si="7"/>
        <v>-0.10999999999999988</v>
      </c>
      <c r="AB28" s="308">
        <f t="shared" si="8"/>
        <v>-0.46999999999999975</v>
      </c>
      <c r="AC28" s="59"/>
      <c r="AD28" s="308">
        <v>2.79</v>
      </c>
      <c r="AE28" s="437">
        <f>ROUND('[1]GRP 12M12 VS 12M11'!$E$13,2)</f>
        <v>2.46</v>
      </c>
      <c r="AF28" s="308">
        <f t="shared" si="9"/>
        <v>-0.33000000000000007</v>
      </c>
      <c r="AG28" s="31"/>
    </row>
    <row r="29" spans="2:33" s="27" customFormat="1" ht="15">
      <c r="B29" s="27" t="s">
        <v>47</v>
      </c>
      <c r="D29" s="54">
        <v>1.91</v>
      </c>
      <c r="E29" s="54">
        <v>0.81</v>
      </c>
      <c r="F29" s="54">
        <v>0.64</v>
      </c>
      <c r="G29" s="54">
        <v>0.69</v>
      </c>
      <c r="H29" s="54">
        <v>0.81</v>
      </c>
      <c r="I29" s="54"/>
      <c r="J29" s="54">
        <v>1.15</v>
      </c>
      <c r="K29" s="54">
        <v>0.84</v>
      </c>
      <c r="L29" s="54">
        <v>0.65</v>
      </c>
      <c r="M29" s="54">
        <v>0.6</v>
      </c>
      <c r="N29" s="54">
        <v>0.6</v>
      </c>
      <c r="O29" s="54">
        <v>0.64</v>
      </c>
      <c r="P29" s="54">
        <v>0.69</v>
      </c>
      <c r="Q29" s="54">
        <v>0.63</v>
      </c>
      <c r="R29" s="9">
        <v>0.64</v>
      </c>
      <c r="S29" s="9">
        <v>0.62</v>
      </c>
      <c r="T29" s="9">
        <v>0.71</v>
      </c>
      <c r="U29" s="9">
        <v>0.76</v>
      </c>
      <c r="V29" s="9">
        <v>0.76</v>
      </c>
      <c r="W29" s="9">
        <v>0.83</v>
      </c>
      <c r="X29" s="9">
        <v>0.82</v>
      </c>
      <c r="Y29" s="9">
        <v>0.83</v>
      </c>
      <c r="Z29" s="436">
        <v>0.79</v>
      </c>
      <c r="AA29" s="54">
        <f t="shared" si="7"/>
        <v>-0.039999999999999925</v>
      </c>
      <c r="AB29" s="54">
        <f t="shared" si="8"/>
        <v>0.030000000000000027</v>
      </c>
      <c r="AD29" s="54">
        <v>0.69</v>
      </c>
      <c r="AE29" s="436">
        <f>ROUND('[1]GRP 12M12 VS 12M11'!$E$37,2)</f>
        <v>0.81</v>
      </c>
      <c r="AF29" s="54">
        <f t="shared" si="9"/>
        <v>0.1200000000000001</v>
      </c>
      <c r="AG29" s="31"/>
    </row>
    <row r="30" spans="3:33" s="56" customFormat="1" ht="15">
      <c r="C30" s="56" t="s">
        <v>21</v>
      </c>
      <c r="D30" s="51">
        <v>1.48</v>
      </c>
      <c r="E30" s="51">
        <v>0.64</v>
      </c>
      <c r="F30" s="51">
        <v>0.53</v>
      </c>
      <c r="G30" s="51">
        <v>0.61</v>
      </c>
      <c r="H30" s="308">
        <v>0.72</v>
      </c>
      <c r="I30" s="51"/>
      <c r="J30" s="51">
        <v>0.9</v>
      </c>
      <c r="K30" s="51">
        <v>0.67</v>
      </c>
      <c r="L30" s="51">
        <v>0.5</v>
      </c>
      <c r="M30" s="51">
        <v>0.48</v>
      </c>
      <c r="N30" s="51">
        <v>0.48</v>
      </c>
      <c r="O30" s="51">
        <v>0.53</v>
      </c>
      <c r="P30" s="51">
        <v>0.58</v>
      </c>
      <c r="Q30" s="51">
        <v>0.51</v>
      </c>
      <c r="R30" s="76">
        <v>0.55</v>
      </c>
      <c r="S30" s="76">
        <v>0.55</v>
      </c>
      <c r="T30" s="76">
        <v>0.64</v>
      </c>
      <c r="U30" s="76">
        <v>0.68</v>
      </c>
      <c r="V30" s="76">
        <v>0.67</v>
      </c>
      <c r="W30" s="76">
        <v>0.73</v>
      </c>
      <c r="X30" s="126">
        <v>0.75</v>
      </c>
      <c r="Y30" s="126">
        <v>0.73</v>
      </c>
      <c r="Z30" s="489">
        <v>0.71</v>
      </c>
      <c r="AA30" s="308">
        <f t="shared" si="7"/>
        <v>-0.020000000000000018</v>
      </c>
      <c r="AB30" s="308">
        <f t="shared" si="8"/>
        <v>0.039999999999999925</v>
      </c>
      <c r="AC30" s="59"/>
      <c r="AD30" s="308">
        <v>0.61</v>
      </c>
      <c r="AE30" s="437">
        <f>ROUND('[1]GRP 12M12 VS 12M11'!$E$32,2)</f>
        <v>0.72</v>
      </c>
      <c r="AF30" s="308">
        <f>AE30-AD30</f>
        <v>0.10999999999999999</v>
      </c>
      <c r="AG30" s="31"/>
    </row>
    <row r="31" spans="3:33" s="56" customFormat="1" ht="15">
      <c r="C31" s="56" t="s">
        <v>22</v>
      </c>
      <c r="D31" s="51">
        <v>3.7</v>
      </c>
      <c r="E31" s="51">
        <v>2.02</v>
      </c>
      <c r="F31" s="51">
        <v>1.33</v>
      </c>
      <c r="G31" s="51">
        <v>1.1</v>
      </c>
      <c r="H31" s="308">
        <v>1.21</v>
      </c>
      <c r="I31" s="51"/>
      <c r="J31" s="51">
        <v>2.76</v>
      </c>
      <c r="K31" s="51">
        <v>1.9</v>
      </c>
      <c r="L31" s="51">
        <v>1.68</v>
      </c>
      <c r="M31" s="51">
        <v>1.58</v>
      </c>
      <c r="N31" s="51">
        <v>1.46</v>
      </c>
      <c r="O31" s="51">
        <v>1.3</v>
      </c>
      <c r="P31" s="51">
        <v>1.28</v>
      </c>
      <c r="Q31" s="51">
        <v>1.26</v>
      </c>
      <c r="R31" s="76">
        <v>1.12</v>
      </c>
      <c r="S31" s="76">
        <v>1.02</v>
      </c>
      <c r="T31" s="76">
        <v>1.08</v>
      </c>
      <c r="U31" s="76">
        <v>1.14</v>
      </c>
      <c r="V31" s="76">
        <v>1.17</v>
      </c>
      <c r="W31" s="76">
        <v>1.24</v>
      </c>
      <c r="X31" s="126">
        <v>1.12</v>
      </c>
      <c r="Y31" s="126">
        <v>1.28</v>
      </c>
      <c r="Z31" s="489">
        <v>1.17</v>
      </c>
      <c r="AA31" s="308">
        <f t="shared" si="7"/>
        <v>-0.1100000000000001</v>
      </c>
      <c r="AB31" s="308">
        <f t="shared" si="8"/>
        <v>0</v>
      </c>
      <c r="AC31" s="59"/>
      <c r="AD31" s="308">
        <v>1.1</v>
      </c>
      <c r="AE31" s="437">
        <f>ROUND('[1]GRP 12M12 VS 12M11'!$E$30,2)</f>
        <v>1.21</v>
      </c>
      <c r="AF31" s="308">
        <f t="shared" si="9"/>
        <v>0.10999999999999988</v>
      </c>
      <c r="AG31" s="31"/>
    </row>
    <row r="32" spans="24:33" ht="15">
      <c r="X32" s="19"/>
      <c r="Y32" s="19"/>
      <c r="Z32" s="16"/>
      <c r="AA32" s="19"/>
      <c r="AB32" s="19"/>
      <c r="AC32" s="23"/>
      <c r="AD32" s="19"/>
      <c r="AF32" s="19"/>
      <c r="AG32" s="23"/>
    </row>
    <row r="33" spans="24:33" ht="14.25">
      <c r="X33" s="19"/>
      <c r="Y33" s="19"/>
      <c r="AA33" s="19"/>
      <c r="AB33" s="19"/>
      <c r="AC33" s="23"/>
      <c r="AD33" s="19"/>
      <c r="AF33" s="19"/>
      <c r="AG33" s="23"/>
    </row>
    <row r="34" spans="27:33" ht="14.25">
      <c r="AA34" s="19"/>
      <c r="AB34" s="19"/>
      <c r="AC34" s="23"/>
      <c r="AD34" s="19"/>
      <c r="AF34" s="19"/>
      <c r="AG34" s="23"/>
    </row>
  </sheetData>
  <sheetProtection/>
  <mergeCells count="1">
    <mergeCell ref="A2:C2"/>
  </mergeCells>
  <hyperlinks>
    <hyperlink ref="A2" location="Index!A1" display="Back to Index"/>
  </hyperlinks>
  <printOptions/>
  <pageMargins left="0.55" right="0.57" top="1" bottom="1" header="0.5" footer="0.5"/>
  <pageSetup fitToHeight="1" fitToWidth="1" horizontalDpi="600" verticalDpi="600" orientation="landscape" scale="95"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AF37"/>
  <sheetViews>
    <sheetView zoomScale="80" zoomScaleNormal="80" zoomScalePageLayoutView="0" workbookViewId="0" topLeftCell="A1">
      <pane xSplit="3" ySplit="2" topLeftCell="V3" activePane="bottomRight" state="frozen"/>
      <selection pane="topLeft" activeCell="A1" sqref="A1"/>
      <selection pane="topRight" activeCell="D1" sqref="D1"/>
      <selection pane="bottomLeft" activeCell="A3" sqref="A3"/>
      <selection pane="bottomRight" activeCell="AI27" sqref="AI27"/>
    </sheetView>
  </sheetViews>
  <sheetFormatPr defaultColWidth="9.140625" defaultRowHeight="12.75" outlineLevelCol="1"/>
  <cols>
    <col min="1" max="2" width="2.8515625" style="22" customWidth="1"/>
    <col min="3" max="3" width="46.57421875" style="10" customWidth="1"/>
    <col min="4" max="4" width="8.421875" style="76" hidden="1" customWidth="1" outlineLevel="1"/>
    <col min="5" max="8" width="8.421875" style="75" hidden="1" customWidth="1" outlineLevel="1"/>
    <col min="9" max="9" width="3.7109375" style="75" hidden="1" customWidth="1" outlineLevel="1"/>
    <col min="10" max="15" width="8.421875" style="75" hidden="1" customWidth="1" outlineLevel="1"/>
    <col min="16" max="17" width="6.57421875" style="75" hidden="1" customWidth="1" outlineLevel="1"/>
    <col min="18" max="18" width="8.421875" style="75" hidden="1" customWidth="1" outlineLevel="1"/>
    <col min="19" max="19" width="8.421875" style="75" hidden="1" customWidth="1" outlineLevel="1" collapsed="1"/>
    <col min="20" max="21" width="8.421875" style="75" hidden="1" customWidth="1" outlineLevel="1"/>
    <col min="22" max="22" width="8.421875" style="75" customWidth="1" collapsed="1"/>
    <col min="23" max="25" width="8.421875" style="75" customWidth="1"/>
    <col min="26" max="26" width="8.421875" style="119" customWidth="1"/>
    <col min="27" max="27" width="8.7109375" style="75" customWidth="1"/>
    <col min="28" max="28" width="9.421875" style="75" customWidth="1"/>
    <col min="29" max="29" width="3.28125" style="75" customWidth="1"/>
    <col min="30" max="30" width="9.421875" style="75" hidden="1" customWidth="1"/>
    <col min="31" max="31" width="9.421875" style="119" hidden="1" customWidth="1"/>
    <col min="32" max="32" width="8.57421875" style="75" hidden="1" customWidth="1"/>
    <col min="33" max="16384" width="9.140625" style="22" customWidth="1"/>
  </cols>
  <sheetData>
    <row r="1" spans="1:32" s="42" customFormat="1" ht="20.25">
      <c r="A1" s="41" t="s">
        <v>25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C2" s="45"/>
      <c r="AD2" s="290" t="s">
        <v>366</v>
      </c>
      <c r="AE2" s="290" t="s">
        <v>392</v>
      </c>
      <c r="AF2" s="290" t="s">
        <v>393</v>
      </c>
    </row>
    <row r="3" spans="1:32" s="18" customFormat="1" ht="8.25" customHeight="1">
      <c r="A3" s="7"/>
      <c r="D3" s="17"/>
      <c r="E3" s="17"/>
      <c r="F3" s="17"/>
      <c r="G3" s="17"/>
      <c r="H3" s="17"/>
      <c r="I3" s="17"/>
      <c r="J3" s="17"/>
      <c r="K3" s="17"/>
      <c r="L3" s="17"/>
      <c r="M3" s="17"/>
      <c r="N3" s="17"/>
      <c r="O3" s="17"/>
      <c r="P3" s="17"/>
      <c r="Q3" s="17"/>
      <c r="R3" s="17"/>
      <c r="S3" s="17"/>
      <c r="T3" s="17"/>
      <c r="U3" s="17"/>
      <c r="V3" s="17"/>
      <c r="W3" s="17"/>
      <c r="X3" s="17"/>
      <c r="Y3" s="17"/>
      <c r="Z3" s="125"/>
      <c r="AA3" s="17"/>
      <c r="AB3" s="17"/>
      <c r="AC3" s="17"/>
      <c r="AD3" s="17"/>
      <c r="AE3" s="125"/>
      <c r="AF3" s="17"/>
    </row>
    <row r="4" spans="1:32" s="18" customFormat="1" ht="15">
      <c r="A4" s="47" t="s">
        <v>103</v>
      </c>
      <c r="D4" s="17"/>
      <c r="E4" s="17"/>
      <c r="F4" s="17"/>
      <c r="G4" s="17"/>
      <c r="H4" s="17"/>
      <c r="I4" s="17"/>
      <c r="J4" s="17"/>
      <c r="K4" s="17"/>
      <c r="L4" s="17"/>
      <c r="M4" s="17"/>
      <c r="N4" s="17"/>
      <c r="O4" s="17"/>
      <c r="P4" s="17"/>
      <c r="Q4" s="17"/>
      <c r="R4" s="17"/>
      <c r="S4" s="17"/>
      <c r="T4" s="17"/>
      <c r="U4" s="17"/>
      <c r="V4" s="17"/>
      <c r="W4" s="17"/>
      <c r="X4" s="17"/>
      <c r="Y4" s="17"/>
      <c r="Z4" s="365"/>
      <c r="AA4" s="17"/>
      <c r="AB4" s="17"/>
      <c r="AC4" s="17"/>
      <c r="AD4" s="366"/>
      <c r="AE4" s="365"/>
      <c r="AF4" s="17"/>
    </row>
    <row r="5" spans="1:32" s="18" customFormat="1" ht="15">
      <c r="A5" s="31" t="s">
        <v>25</v>
      </c>
      <c r="D5" s="17">
        <v>1730</v>
      </c>
      <c r="E5" s="17">
        <v>2148</v>
      </c>
      <c r="F5" s="17">
        <v>2748</v>
      </c>
      <c r="G5" s="17">
        <v>2806</v>
      </c>
      <c r="H5" s="17">
        <v>2779</v>
      </c>
      <c r="I5" s="17"/>
      <c r="J5" s="17">
        <v>586</v>
      </c>
      <c r="K5" s="17">
        <v>680</v>
      </c>
      <c r="L5" s="17">
        <v>437</v>
      </c>
      <c r="M5" s="17">
        <v>445</v>
      </c>
      <c r="N5" s="17">
        <v>647</v>
      </c>
      <c r="O5" s="17">
        <v>748</v>
      </c>
      <c r="P5" s="17">
        <v>730</v>
      </c>
      <c r="Q5" s="17">
        <v>623</v>
      </c>
      <c r="R5" s="17">
        <f>R16+R18+R21</f>
        <v>787</v>
      </c>
      <c r="S5" s="17">
        <f>S16+S18+S21</f>
        <v>639</v>
      </c>
      <c r="T5" s="17">
        <f>T16+T18+T21</f>
        <v>754</v>
      </c>
      <c r="U5" s="17">
        <f>U16+U18+U21</f>
        <v>626</v>
      </c>
      <c r="V5" s="17">
        <f>V16+V18+V21</f>
        <v>820</v>
      </c>
      <c r="W5" s="17">
        <v>621</v>
      </c>
      <c r="X5" s="17">
        <v>672</v>
      </c>
      <c r="Y5" s="17">
        <v>666</v>
      </c>
      <c r="Z5" s="125">
        <f>Z16+Z18+Z21</f>
        <v>990</v>
      </c>
      <c r="AA5" s="17">
        <f>IF(AND(Z5=0,Y5=0),0,IF(OR(AND(Z5&gt;0,Y5&lt;=0),AND(Z5&lt;0,Y5&gt;=0)),"nm",IF(AND(Z5&lt;0,Y5&lt;0),IF(-(Z5/Y5-1)*100&lt;-100,"(&gt;100)",-(Z5/Y5-1)*100),IF((Z5/Y5-1)*100&gt;100,"&gt;100",(Z5/Y5-1)*100))))</f>
        <v>48.64864864864864</v>
      </c>
      <c r="AB5" s="17">
        <f>IF(AND(Z5=0,V5=0),0,IF(OR(AND(Z5&gt;0,V5&lt;=0),AND(Z5&lt;0,V5&gt;=0)),"nm",IF(AND(Z5&lt;0,V5&lt;0),IF(-(Z5/V5-1)*100&lt;-100,"(&gt;100)",-(Z5/V5-1)*100),IF((Z5/V5-1)*100&gt;100,"&gt;100",(Z5/V5-1)*100))))</f>
        <v>20.731707317073166</v>
      </c>
      <c r="AC5" s="17"/>
      <c r="AD5" s="17">
        <v>2806</v>
      </c>
      <c r="AE5" s="125">
        <f>AE16+AE18+AE21</f>
        <v>2626</v>
      </c>
      <c r="AF5" s="17">
        <f>IF(AND(AE5=0,AD5=0),0,IF(OR(AND(AE5&gt;0,AD5&lt;=0),AND(AE5&lt;0,AD5&gt;=0)),"nm",IF(AND(AE5&lt;0,AD5&lt;0),IF(-(AE5/AD5-1)*100&lt;-100,"(&gt;100)",-(AE5/AD5-1)*100),IF((AE5/AD5-1)*100&gt;100,"&gt;100",(AE5/AD5-1)*100))))</f>
        <v>-6.414825374198152</v>
      </c>
    </row>
    <row r="6" spans="2:32" s="18" customFormat="1" ht="15">
      <c r="B6" s="31"/>
      <c r="D6" s="17"/>
      <c r="E6" s="17"/>
      <c r="F6" s="17"/>
      <c r="G6" s="17"/>
      <c r="H6" s="17"/>
      <c r="I6" s="17"/>
      <c r="J6" s="17"/>
      <c r="K6" s="17"/>
      <c r="L6" s="17"/>
      <c r="M6" s="17"/>
      <c r="N6" s="17"/>
      <c r="O6" s="17"/>
      <c r="P6" s="17"/>
      <c r="Q6" s="17"/>
      <c r="R6" s="17"/>
      <c r="S6" s="17"/>
      <c r="T6" s="17"/>
      <c r="U6" s="17"/>
      <c r="V6" s="17"/>
      <c r="W6" s="17"/>
      <c r="X6" s="17"/>
      <c r="Y6" s="17"/>
      <c r="Z6" s="478"/>
      <c r="AA6" s="17"/>
      <c r="AB6" s="17"/>
      <c r="AC6" s="17"/>
      <c r="AD6" s="17"/>
      <c r="AE6" s="144"/>
      <c r="AF6" s="17"/>
    </row>
    <row r="7" spans="3:32" ht="14.25">
      <c r="C7" s="33" t="s">
        <v>30</v>
      </c>
      <c r="D7" s="75">
        <v>152</v>
      </c>
      <c r="E7" s="75">
        <v>170</v>
      </c>
      <c r="F7" s="75">
        <v>179</v>
      </c>
      <c r="G7" s="75">
        <v>214</v>
      </c>
      <c r="H7" s="121">
        <v>179</v>
      </c>
      <c r="J7" s="75">
        <v>28</v>
      </c>
      <c r="K7" s="75">
        <v>50</v>
      </c>
      <c r="L7" s="75">
        <v>51</v>
      </c>
      <c r="M7" s="75">
        <v>41</v>
      </c>
      <c r="N7" s="75">
        <v>42</v>
      </c>
      <c r="O7" s="75">
        <v>42</v>
      </c>
      <c r="P7" s="75">
        <v>45</v>
      </c>
      <c r="Q7" s="121">
        <v>50</v>
      </c>
      <c r="R7" s="75">
        <v>64</v>
      </c>
      <c r="S7" s="75">
        <v>51</v>
      </c>
      <c r="T7" s="75">
        <v>57</v>
      </c>
      <c r="U7" s="75">
        <v>42</v>
      </c>
      <c r="V7" s="75">
        <v>52</v>
      </c>
      <c r="W7" s="75">
        <v>40</v>
      </c>
      <c r="X7" s="75">
        <v>43</v>
      </c>
      <c r="Y7" s="75">
        <v>44</v>
      </c>
      <c r="Z7" s="122">
        <v>62</v>
      </c>
      <c r="AA7" s="132">
        <f aca="true" t="shared" si="0" ref="AA7:AA16">IF(AND(Z7=0,Y7=0),0,IF(OR(AND(Z7&gt;0,Y7&lt;=0),AND(Z7&lt;0,Y7&gt;=0)),"nm",IF(AND(Z7&lt;0,Y7&lt;0),IF(-(Z7/Y7-1)*100&lt;-100,"(&gt;100)",-(Z7/Y7-1)*100),IF((Z7/Y7-1)*100&gt;100,"&gt;100",(Z7/Y7-1)*100))))</f>
        <v>40.90909090909092</v>
      </c>
      <c r="AB7" s="75">
        <f aca="true" t="shared" si="1" ref="AB7:AB16">IF(AND(Z7=0,V7=0),0,IF(OR(AND(Z7&gt;0,V7&lt;=0),AND(Z7&lt;0,V7&gt;=0)),"nm",IF(AND(Z7&lt;0,V7&lt;0),IF(-(Z7/V7-1)*100&lt;-100,"(&gt;100)",-(Z7/V7-1)*100),IF((Z7/V7-1)*100&gt;100,"&gt;100",(Z7/V7-1)*100))))</f>
        <v>19.23076923076923</v>
      </c>
      <c r="AD7" s="75">
        <v>214</v>
      </c>
      <c r="AE7" s="122">
        <v>179</v>
      </c>
      <c r="AF7" s="75">
        <f>IF(AND(AE7=0,AD7=0),0,IF(OR(AND(AE7&gt;0,AD7&lt;=0),AND(AE7&lt;0,AD7&gt;=0)),"nm",IF(AND(AE7&lt;0,AD7&lt;0),IF(-(AE7/AD7-1)*100&lt;-100,"(&gt;100)",-(AE7/AD7-1)*100),IF((AE7/AD7-1)*100&gt;100,"&gt;100",(AE7/AD7-1)*100))))</f>
        <v>-16.355140186915882</v>
      </c>
    </row>
    <row r="8" spans="3:32" ht="14.25">
      <c r="C8" s="33" t="s">
        <v>31</v>
      </c>
      <c r="D8" s="75">
        <v>90</v>
      </c>
      <c r="E8" s="75">
        <v>146</v>
      </c>
      <c r="F8" s="75">
        <v>154</v>
      </c>
      <c r="G8" s="75">
        <v>190</v>
      </c>
      <c r="H8" s="121">
        <v>148</v>
      </c>
      <c r="J8" s="75">
        <v>17</v>
      </c>
      <c r="K8" s="75">
        <v>27</v>
      </c>
      <c r="L8" s="75">
        <v>43</v>
      </c>
      <c r="M8" s="75">
        <v>59</v>
      </c>
      <c r="N8" s="75">
        <v>27</v>
      </c>
      <c r="O8" s="75">
        <v>29</v>
      </c>
      <c r="P8" s="75">
        <v>38</v>
      </c>
      <c r="Q8" s="121">
        <v>60</v>
      </c>
      <c r="R8" s="75">
        <v>75</v>
      </c>
      <c r="S8" s="75">
        <v>44</v>
      </c>
      <c r="T8" s="75">
        <v>38</v>
      </c>
      <c r="U8" s="75">
        <v>33</v>
      </c>
      <c r="V8" s="75">
        <v>32</v>
      </c>
      <c r="W8" s="75">
        <v>29</v>
      </c>
      <c r="X8" s="75">
        <v>60</v>
      </c>
      <c r="Y8" s="75">
        <v>27</v>
      </c>
      <c r="Z8" s="122">
        <v>64</v>
      </c>
      <c r="AA8" s="75" t="str">
        <f t="shared" si="0"/>
        <v>&gt;100</v>
      </c>
      <c r="AB8" s="75">
        <f t="shared" si="1"/>
        <v>100</v>
      </c>
      <c r="AD8" s="75">
        <v>190</v>
      </c>
      <c r="AE8" s="122">
        <v>148</v>
      </c>
      <c r="AF8" s="75">
        <f aca="true" t="shared" si="2" ref="AF8:AF24">IF(AND(AE8=0,AD8=0),0,IF(OR(AND(AE8&gt;0,AD8&lt;=0),AND(AE8&lt;0,AD8&gt;=0)),"nm",IF(AND(AE8&lt;0,AD8&lt;0),IF(-(AE8/AD8-1)*100&lt;-100,"(&gt;100)",-(AE8/AD8-1)*100),IF((AE8/AD8-1)*100&gt;100,"&gt;100",(AE8/AD8-1)*100))))</f>
        <v>-22.10526315789474</v>
      </c>
    </row>
    <row r="9" spans="3:32" ht="14.25">
      <c r="C9" s="127" t="s">
        <v>415</v>
      </c>
      <c r="D9" s="75">
        <f>225+49+81</f>
        <v>355</v>
      </c>
      <c r="E9" s="75">
        <f>244+57+84</f>
        <v>385</v>
      </c>
      <c r="F9" s="75">
        <f>227+59+85</f>
        <v>371</v>
      </c>
      <c r="G9" s="75">
        <f>284+71+82</f>
        <v>437</v>
      </c>
      <c r="H9" s="121">
        <f>320+79+74</f>
        <v>473</v>
      </c>
      <c r="J9" s="75">
        <f>74+15+20</f>
        <v>109</v>
      </c>
      <c r="K9" s="75">
        <f>59+14+22</f>
        <v>95</v>
      </c>
      <c r="L9" s="75">
        <f>56+14+21</f>
        <v>91</v>
      </c>
      <c r="M9" s="75">
        <f>55+14+21</f>
        <v>90</v>
      </c>
      <c r="N9" s="75">
        <f>59+13+20</f>
        <v>92</v>
      </c>
      <c r="O9" s="75">
        <f>57+16+22</f>
        <v>95</v>
      </c>
      <c r="P9" s="75">
        <f>55+14+20</f>
        <v>89</v>
      </c>
      <c r="Q9" s="121">
        <f>56+16+23</f>
        <v>95</v>
      </c>
      <c r="R9" s="75">
        <f>63+20+20</f>
        <v>103</v>
      </c>
      <c r="S9" s="75">
        <f>66+16+22</f>
        <v>104</v>
      </c>
      <c r="T9" s="75">
        <f>81+18+23</f>
        <v>122</v>
      </c>
      <c r="U9" s="75">
        <f>74+17+17</f>
        <v>108</v>
      </c>
      <c r="V9" s="75">
        <f>79+24+19</f>
        <v>122</v>
      </c>
      <c r="W9" s="75">
        <f>82+22+16</f>
        <v>120</v>
      </c>
      <c r="X9" s="75">
        <f>80+16+20</f>
        <v>116</v>
      </c>
      <c r="Y9" s="75">
        <f>79+17+19</f>
        <v>115</v>
      </c>
      <c r="Z9" s="122">
        <f>86+28+20</f>
        <v>134</v>
      </c>
      <c r="AA9" s="75">
        <f t="shared" si="0"/>
        <v>16.521739130434774</v>
      </c>
      <c r="AB9" s="75">
        <f t="shared" si="1"/>
        <v>9.836065573770503</v>
      </c>
      <c r="AD9" s="75">
        <v>284</v>
      </c>
      <c r="AE9" s="122">
        <v>320</v>
      </c>
      <c r="AF9" s="75">
        <f t="shared" si="2"/>
        <v>12.676056338028175</v>
      </c>
    </row>
    <row r="10" spans="3:32" ht="14.25">
      <c r="C10" s="33" t="s">
        <v>32</v>
      </c>
      <c r="D10" s="75">
        <v>299</v>
      </c>
      <c r="E10" s="75">
        <v>375</v>
      </c>
      <c r="F10" s="75">
        <v>333</v>
      </c>
      <c r="G10" s="75">
        <v>359</v>
      </c>
      <c r="H10" s="121">
        <v>333</v>
      </c>
      <c r="J10" s="75">
        <v>96</v>
      </c>
      <c r="K10" s="75">
        <v>108</v>
      </c>
      <c r="L10" s="75">
        <v>86</v>
      </c>
      <c r="M10" s="75">
        <v>85</v>
      </c>
      <c r="N10" s="75">
        <v>100</v>
      </c>
      <c r="O10" s="75">
        <v>101</v>
      </c>
      <c r="P10" s="75">
        <v>80</v>
      </c>
      <c r="Q10" s="121">
        <v>52</v>
      </c>
      <c r="R10" s="75">
        <v>93</v>
      </c>
      <c r="S10" s="75">
        <v>95</v>
      </c>
      <c r="T10" s="75">
        <v>103</v>
      </c>
      <c r="U10" s="75">
        <v>68</v>
      </c>
      <c r="V10" s="75">
        <v>83</v>
      </c>
      <c r="W10" s="75">
        <v>82</v>
      </c>
      <c r="X10" s="75">
        <v>98</v>
      </c>
      <c r="Y10" s="75">
        <v>70</v>
      </c>
      <c r="Z10" s="122">
        <v>103</v>
      </c>
      <c r="AA10" s="75">
        <f t="shared" si="0"/>
        <v>47.14285714285715</v>
      </c>
      <c r="AB10" s="75">
        <f t="shared" si="1"/>
        <v>24.096385542168687</v>
      </c>
      <c r="AD10" s="75">
        <v>359</v>
      </c>
      <c r="AE10" s="122">
        <v>333</v>
      </c>
      <c r="AF10" s="75">
        <f>IF(AND(AE10=0,AD10=0),0,IF(OR(AND(AE10&gt;0,AD10&lt;=0),AND(AE10&lt;0,AD10&gt;=0)),"nm",IF(AND(AE10&lt;0,AD10&lt;0),IF(-(AE10/AD10-1)*100&lt;-100,"(&gt;100)",-(AE10/AD10-1)*100),IF((AE10/AD10-1)*100&gt;100,"&gt;100",(AE10/AD10-1)*100))))</f>
        <v>-7.2423398328690824</v>
      </c>
    </row>
    <row r="11" spans="3:32" ht="15.75" customHeight="1">
      <c r="C11" s="33" t="s">
        <v>33</v>
      </c>
      <c r="D11" s="75">
        <v>143</v>
      </c>
      <c r="E11" s="75">
        <v>143</v>
      </c>
      <c r="F11" s="75">
        <v>149</v>
      </c>
      <c r="G11" s="75">
        <v>267</v>
      </c>
      <c r="H11" s="121">
        <v>299</v>
      </c>
      <c r="J11" s="75">
        <v>33</v>
      </c>
      <c r="K11" s="75">
        <v>37</v>
      </c>
      <c r="L11" s="75">
        <v>37</v>
      </c>
      <c r="M11" s="75">
        <v>36</v>
      </c>
      <c r="N11" s="75">
        <v>35</v>
      </c>
      <c r="O11" s="75">
        <v>37</v>
      </c>
      <c r="P11" s="75">
        <v>37</v>
      </c>
      <c r="Q11" s="121">
        <v>40</v>
      </c>
      <c r="R11" s="75">
        <v>60</v>
      </c>
      <c r="S11" s="75">
        <v>62</v>
      </c>
      <c r="T11" s="75">
        <v>65</v>
      </c>
      <c r="U11" s="75">
        <v>80</v>
      </c>
      <c r="V11" s="75">
        <v>74</v>
      </c>
      <c r="W11" s="75">
        <v>71</v>
      </c>
      <c r="X11" s="75">
        <v>72</v>
      </c>
      <c r="Y11" s="75">
        <v>82</v>
      </c>
      <c r="Z11" s="122">
        <v>78</v>
      </c>
      <c r="AA11" s="75">
        <f>IF(AND(Z11=0,Y11=0),0,IF(OR(AND(Z11&gt;0,Y11&lt;=0),AND(Z11&lt;0,Y11&gt;=0)),"nm",IF(AND(Z11&lt;0,Y11&lt;0),IF(-(Z11/Y11-1)*100&lt;-100,"(&gt;100)",-(Z11/Y11-1)*100),IF((Z11/Y11-1)*100&gt;100,"&gt;100",(Z11/Y11-1)*100))))</f>
        <v>-4.878048780487809</v>
      </c>
      <c r="AB11" s="75">
        <f t="shared" si="1"/>
        <v>5.405405405405395</v>
      </c>
      <c r="AD11" s="75">
        <v>267</v>
      </c>
      <c r="AE11" s="122">
        <v>299</v>
      </c>
      <c r="AF11" s="75">
        <f t="shared" si="2"/>
        <v>11.985018726591768</v>
      </c>
    </row>
    <row r="12" spans="3:32" ht="14.25">
      <c r="C12" s="33" t="s">
        <v>34</v>
      </c>
      <c r="D12" s="75">
        <v>137</v>
      </c>
      <c r="E12" s="75">
        <v>101</v>
      </c>
      <c r="F12" s="75">
        <v>136</v>
      </c>
      <c r="G12" s="75">
        <v>228</v>
      </c>
      <c r="H12" s="121">
        <v>300</v>
      </c>
      <c r="J12" s="75">
        <v>16</v>
      </c>
      <c r="K12" s="75">
        <v>21</v>
      </c>
      <c r="L12" s="75">
        <v>34</v>
      </c>
      <c r="M12" s="75">
        <v>30</v>
      </c>
      <c r="N12" s="75">
        <v>27</v>
      </c>
      <c r="O12" s="75">
        <v>34</v>
      </c>
      <c r="P12" s="75">
        <v>31</v>
      </c>
      <c r="Q12" s="121">
        <v>44</v>
      </c>
      <c r="R12" s="75">
        <v>56</v>
      </c>
      <c r="S12" s="75">
        <v>64</v>
      </c>
      <c r="T12" s="75">
        <v>52</v>
      </c>
      <c r="U12" s="75">
        <v>56</v>
      </c>
      <c r="V12" s="121">
        <f>78+1</f>
        <v>79</v>
      </c>
      <c r="W12" s="75">
        <f>69+1</f>
        <v>70</v>
      </c>
      <c r="X12" s="75">
        <f>73+1</f>
        <v>74</v>
      </c>
      <c r="Y12" s="75">
        <v>77</v>
      </c>
      <c r="Z12" s="122">
        <v>113</v>
      </c>
      <c r="AA12" s="75">
        <f t="shared" si="0"/>
        <v>46.75324675324675</v>
      </c>
      <c r="AB12" s="75">
        <f t="shared" si="1"/>
        <v>43.03797468354431</v>
      </c>
      <c r="AD12" s="75">
        <v>228</v>
      </c>
      <c r="AE12" s="122">
        <v>300</v>
      </c>
      <c r="AF12" s="132">
        <f>IF(AND(AE12=0,AD12=0),0,IF(OR(AND(AE12&gt;0,AD12&lt;=0),AND(AE12&lt;0,AD12&gt;=0)),"nm",IF(AND(AE12&lt;0,AD12&lt;0),IF(-(AE12/AD12-1)*100&lt;-100,"(&gt;100)",-(AE12/AD12-1)*100),IF((AE12/AD12-1)*100&gt;100,"&gt;100",(AE12/AD12-1)*100))))</f>
        <v>31.578947368421062</v>
      </c>
    </row>
    <row r="13" spans="3:32" ht="14.25">
      <c r="C13" s="33" t="s">
        <v>35</v>
      </c>
      <c r="D13" s="75">
        <f>66+32</f>
        <v>98</v>
      </c>
      <c r="E13" s="75">
        <f>54+20</f>
        <v>74</v>
      </c>
      <c r="F13" s="75">
        <f>53+22</f>
        <v>75</v>
      </c>
      <c r="G13" s="75">
        <f>55+16</f>
        <v>71</v>
      </c>
      <c r="H13" s="121">
        <v>43</v>
      </c>
      <c r="J13" s="75">
        <f>13+5</f>
        <v>18</v>
      </c>
      <c r="K13" s="75">
        <f>14+6</f>
        <v>20</v>
      </c>
      <c r="L13" s="75">
        <f>14+5</f>
        <v>19</v>
      </c>
      <c r="M13" s="75">
        <f>13+4</f>
        <v>17</v>
      </c>
      <c r="N13" s="75">
        <f>13+5</f>
        <v>18</v>
      </c>
      <c r="O13" s="75">
        <f>14+6</f>
        <v>20</v>
      </c>
      <c r="P13" s="75">
        <f>15+5</f>
        <v>20</v>
      </c>
      <c r="Q13" s="121">
        <f>11+6</f>
        <v>17</v>
      </c>
      <c r="R13" s="75">
        <v>19</v>
      </c>
      <c r="S13" s="75">
        <v>21</v>
      </c>
      <c r="T13" s="75">
        <v>19</v>
      </c>
      <c r="U13" s="75">
        <v>12</v>
      </c>
      <c r="V13" s="75">
        <f>15-1</f>
        <v>14</v>
      </c>
      <c r="W13" s="75">
        <f>13-1</f>
        <v>12</v>
      </c>
      <c r="X13" s="75">
        <f>11-1</f>
        <v>10</v>
      </c>
      <c r="Y13" s="75">
        <v>7</v>
      </c>
      <c r="Z13" s="122">
        <v>14</v>
      </c>
      <c r="AA13" s="75">
        <f t="shared" si="0"/>
        <v>100</v>
      </c>
      <c r="AB13" s="75">
        <f t="shared" si="1"/>
        <v>0</v>
      </c>
      <c r="AD13" s="75">
        <v>71</v>
      </c>
      <c r="AE13" s="122">
        <v>43</v>
      </c>
      <c r="AF13" s="75">
        <f t="shared" si="2"/>
        <v>-39.43661971830986</v>
      </c>
    </row>
    <row r="14" spans="2:32" ht="15">
      <c r="B14" s="31" t="s">
        <v>368</v>
      </c>
      <c r="C14" s="33"/>
      <c r="D14" s="17">
        <f>SUM(D7:D13)</f>
        <v>1274</v>
      </c>
      <c r="E14" s="17">
        <f>SUM(E7:E13)</f>
        <v>1394</v>
      </c>
      <c r="F14" s="17">
        <f>SUM(F7:F13)</f>
        <v>1397</v>
      </c>
      <c r="G14" s="17">
        <f>SUM(G7:G13)</f>
        <v>1766</v>
      </c>
      <c r="H14" s="17">
        <v>1775</v>
      </c>
      <c r="I14" s="17"/>
      <c r="J14" s="17">
        <f aca="true" t="shared" si="3" ref="J14:Y14">SUM(J7:J13)</f>
        <v>317</v>
      </c>
      <c r="K14" s="17">
        <f t="shared" si="3"/>
        <v>358</v>
      </c>
      <c r="L14" s="17">
        <f t="shared" si="3"/>
        <v>361</v>
      </c>
      <c r="M14" s="17">
        <f t="shared" si="3"/>
        <v>358</v>
      </c>
      <c r="N14" s="17">
        <f t="shared" si="3"/>
        <v>341</v>
      </c>
      <c r="O14" s="17">
        <f t="shared" si="3"/>
        <v>358</v>
      </c>
      <c r="P14" s="17">
        <f t="shared" si="3"/>
        <v>340</v>
      </c>
      <c r="Q14" s="17">
        <f t="shared" si="3"/>
        <v>358</v>
      </c>
      <c r="R14" s="17">
        <f t="shared" si="3"/>
        <v>470</v>
      </c>
      <c r="S14" s="17">
        <f t="shared" si="3"/>
        <v>441</v>
      </c>
      <c r="T14" s="17">
        <f t="shared" si="3"/>
        <v>456</v>
      </c>
      <c r="U14" s="17">
        <f t="shared" si="3"/>
        <v>399</v>
      </c>
      <c r="V14" s="17">
        <f t="shared" si="3"/>
        <v>456</v>
      </c>
      <c r="W14" s="17">
        <f t="shared" si="3"/>
        <v>424</v>
      </c>
      <c r="X14" s="17">
        <f t="shared" si="3"/>
        <v>473</v>
      </c>
      <c r="Y14" s="17">
        <f t="shared" si="3"/>
        <v>422</v>
      </c>
      <c r="Z14" s="125">
        <f>SUM(Z7:Z13)</f>
        <v>568</v>
      </c>
      <c r="AA14" s="17">
        <f t="shared" si="0"/>
        <v>34.597156398104254</v>
      </c>
      <c r="AB14" s="17">
        <f t="shared" si="1"/>
        <v>24.56140350877194</v>
      </c>
      <c r="AD14" s="162">
        <v>1766</v>
      </c>
      <c r="AE14" s="125">
        <f>SUM(AE7:AE13)</f>
        <v>1622</v>
      </c>
      <c r="AF14" s="75">
        <f t="shared" si="2"/>
        <v>-8.154020385050964</v>
      </c>
    </row>
    <row r="15" spans="2:32" ht="14.25">
      <c r="B15" s="34" t="s">
        <v>369</v>
      </c>
      <c r="C15" s="33"/>
      <c r="D15" s="75"/>
      <c r="G15" s="75">
        <v>224</v>
      </c>
      <c r="H15" s="121">
        <v>196</v>
      </c>
      <c r="R15" s="75">
        <v>54</v>
      </c>
      <c r="S15" s="75">
        <v>54</v>
      </c>
      <c r="T15" s="75">
        <v>59</v>
      </c>
      <c r="U15" s="75">
        <v>57</v>
      </c>
      <c r="V15" s="75">
        <v>50</v>
      </c>
      <c r="W15" s="75">
        <v>45</v>
      </c>
      <c r="X15" s="75">
        <v>51</v>
      </c>
      <c r="Y15" s="75">
        <v>50</v>
      </c>
      <c r="Z15" s="122">
        <v>61</v>
      </c>
      <c r="AA15" s="75">
        <f t="shared" si="0"/>
        <v>21.999999999999996</v>
      </c>
      <c r="AB15" s="75">
        <f t="shared" si="1"/>
        <v>21.999999999999996</v>
      </c>
      <c r="AD15" s="121">
        <v>224</v>
      </c>
      <c r="AE15" s="122">
        <v>196</v>
      </c>
      <c r="AF15" s="75">
        <f t="shared" si="2"/>
        <v>-12.5</v>
      </c>
    </row>
    <row r="16" spans="2:32" s="18" customFormat="1" ht="15">
      <c r="B16" s="18" t="s">
        <v>91</v>
      </c>
      <c r="C16" s="32"/>
      <c r="D16" s="17">
        <f>D14-D15</f>
        <v>1274</v>
      </c>
      <c r="E16" s="17">
        <f>E14-E15</f>
        <v>1394</v>
      </c>
      <c r="F16" s="17">
        <f>F14-F15</f>
        <v>1397</v>
      </c>
      <c r="G16" s="17">
        <f>G14-G15</f>
        <v>1542</v>
      </c>
      <c r="H16" s="17">
        <v>1579</v>
      </c>
      <c r="I16" s="17"/>
      <c r="J16" s="17">
        <f aca="true" t="shared" si="4" ref="J16:U16">J14-J15</f>
        <v>317</v>
      </c>
      <c r="K16" s="17">
        <f t="shared" si="4"/>
        <v>358</v>
      </c>
      <c r="L16" s="17">
        <f t="shared" si="4"/>
        <v>361</v>
      </c>
      <c r="M16" s="17">
        <f t="shared" si="4"/>
        <v>358</v>
      </c>
      <c r="N16" s="17">
        <f t="shared" si="4"/>
        <v>341</v>
      </c>
      <c r="O16" s="17">
        <f t="shared" si="4"/>
        <v>358</v>
      </c>
      <c r="P16" s="17">
        <f t="shared" si="4"/>
        <v>340</v>
      </c>
      <c r="Q16" s="17">
        <f t="shared" si="4"/>
        <v>358</v>
      </c>
      <c r="R16" s="17">
        <f t="shared" si="4"/>
        <v>416</v>
      </c>
      <c r="S16" s="17">
        <f t="shared" si="4"/>
        <v>387</v>
      </c>
      <c r="T16" s="17">
        <f t="shared" si="4"/>
        <v>397</v>
      </c>
      <c r="U16" s="17">
        <f t="shared" si="4"/>
        <v>342</v>
      </c>
      <c r="V16" s="17">
        <f>V14-V15</f>
        <v>406</v>
      </c>
      <c r="W16" s="17">
        <f>W14-W15</f>
        <v>379</v>
      </c>
      <c r="X16" s="17">
        <v>422</v>
      </c>
      <c r="Y16" s="17">
        <v>372</v>
      </c>
      <c r="Z16" s="125">
        <f>Z14-Z15</f>
        <v>507</v>
      </c>
      <c r="AA16" s="17">
        <f t="shared" si="0"/>
        <v>36.29032258064515</v>
      </c>
      <c r="AB16" s="17">
        <f t="shared" si="1"/>
        <v>24.87684729064039</v>
      </c>
      <c r="AC16" s="17"/>
      <c r="AD16" s="17">
        <v>1542</v>
      </c>
      <c r="AE16" s="125">
        <f>AE14-AE15</f>
        <v>1426</v>
      </c>
      <c r="AF16" s="75">
        <f t="shared" si="2"/>
        <v>-7.522697795071331</v>
      </c>
    </row>
    <row r="17" spans="3:31" ht="14.25">
      <c r="C17" s="33"/>
      <c r="D17" s="75"/>
      <c r="H17" s="121"/>
      <c r="Z17" s="477"/>
      <c r="AD17" s="367"/>
      <c r="AE17" s="142"/>
    </row>
    <row r="18" spans="2:32" s="18" customFormat="1" ht="15">
      <c r="B18" s="31" t="s">
        <v>322</v>
      </c>
      <c r="D18" s="17">
        <v>23</v>
      </c>
      <c r="E18" s="17">
        <v>433</v>
      </c>
      <c r="F18" s="17">
        <v>895</v>
      </c>
      <c r="G18" s="17">
        <v>680</v>
      </c>
      <c r="H18" s="17">
        <v>689</v>
      </c>
      <c r="I18" s="17"/>
      <c r="J18" s="17">
        <v>150</v>
      </c>
      <c r="K18" s="17">
        <v>172</v>
      </c>
      <c r="L18" s="17">
        <v>56</v>
      </c>
      <c r="M18" s="17">
        <v>55</v>
      </c>
      <c r="N18" s="17">
        <v>230</v>
      </c>
      <c r="O18" s="17">
        <v>278</v>
      </c>
      <c r="P18" s="17">
        <v>223</v>
      </c>
      <c r="Q18" s="17">
        <v>164</v>
      </c>
      <c r="R18" s="17">
        <v>258</v>
      </c>
      <c r="S18" s="17">
        <f>SUM(S19:S20)</f>
        <v>146</v>
      </c>
      <c r="T18" s="17">
        <v>143</v>
      </c>
      <c r="U18" s="17">
        <v>133</v>
      </c>
      <c r="V18" s="17">
        <v>292</v>
      </c>
      <c r="W18" s="17">
        <v>133</v>
      </c>
      <c r="X18" s="17">
        <v>130</v>
      </c>
      <c r="Y18" s="17">
        <v>134</v>
      </c>
      <c r="Z18" s="125">
        <f>SUM(Z19:Z20)</f>
        <v>408</v>
      </c>
      <c r="AA18" s="133" t="str">
        <f aca="true" t="shared" si="5" ref="AA18:AA24">IF(AND(Z18=0,Y18=0),0,IF(OR(AND(Z18&gt;0,Y18&lt;=0),AND(Z18&lt;0,Y18&gt;=0)),"nm",IF(AND(Z18&lt;0,Y18&lt;0),IF(-(Z18/Y18-1)*100&lt;-100,"(&gt;100)",-(Z18/Y18-1)*100),IF((Z18/Y18-1)*100&gt;100,"&gt;100",(Z18/Y18-1)*100))))</f>
        <v>&gt;100</v>
      </c>
      <c r="AB18" s="17">
        <f aca="true" t="shared" si="6" ref="AB18:AB24">IF(AND(Z18=0,V18=0),0,IF(OR(AND(Z18&gt;0,V18&lt;=0),AND(Z18&lt;0,V18&gt;=0)),"nm",IF(AND(Z18&lt;0,V18&lt;0),IF(-(Z18/V18-1)*100&lt;-100,"(&gt;100)",-(Z18/V18-1)*100),IF((Z18/V18-1)*100&gt;100,"&gt;100",(Z18/V18-1)*100))))</f>
        <v>39.726027397260275</v>
      </c>
      <c r="AC18" s="17"/>
      <c r="AD18" s="17">
        <v>680</v>
      </c>
      <c r="AE18" s="125">
        <f>SUM(AE19:AE20)</f>
        <v>689</v>
      </c>
      <c r="AF18" s="133">
        <f t="shared" si="2"/>
        <v>1.3235294117647012</v>
      </c>
    </row>
    <row r="19" spans="2:32" ht="15">
      <c r="B19" s="31"/>
      <c r="C19" s="33" t="s">
        <v>36</v>
      </c>
      <c r="D19" s="75">
        <v>-187</v>
      </c>
      <c r="E19" s="75">
        <v>700</v>
      </c>
      <c r="F19" s="75">
        <v>915</v>
      </c>
      <c r="G19" s="75">
        <v>698</v>
      </c>
      <c r="H19" s="121">
        <v>737</v>
      </c>
      <c r="J19" s="75">
        <v>204</v>
      </c>
      <c r="K19" s="75">
        <v>234</v>
      </c>
      <c r="L19" s="75">
        <v>83</v>
      </c>
      <c r="M19" s="75">
        <v>179</v>
      </c>
      <c r="N19" s="75">
        <v>260</v>
      </c>
      <c r="O19" s="75">
        <v>266</v>
      </c>
      <c r="P19" s="75">
        <v>235</v>
      </c>
      <c r="Q19" s="75">
        <v>154</v>
      </c>
      <c r="R19" s="75">
        <v>269</v>
      </c>
      <c r="S19" s="75">
        <v>146</v>
      </c>
      <c r="T19" s="75">
        <v>138</v>
      </c>
      <c r="U19" s="75">
        <v>145</v>
      </c>
      <c r="V19" s="75">
        <v>325</v>
      </c>
      <c r="W19" s="75">
        <v>139</v>
      </c>
      <c r="X19" s="75">
        <v>137</v>
      </c>
      <c r="Y19" s="75">
        <v>136</v>
      </c>
      <c r="Z19" s="122">
        <v>410</v>
      </c>
      <c r="AA19" s="132" t="str">
        <f t="shared" si="5"/>
        <v>&gt;100</v>
      </c>
      <c r="AB19" s="75">
        <f t="shared" si="6"/>
        <v>26.15384615384615</v>
      </c>
      <c r="AD19" s="75">
        <v>698</v>
      </c>
      <c r="AE19" s="122">
        <v>737</v>
      </c>
      <c r="AF19" s="132">
        <f t="shared" si="2"/>
        <v>5.587392550143266</v>
      </c>
    </row>
    <row r="20" spans="2:32" ht="15">
      <c r="B20" s="31"/>
      <c r="C20" s="33" t="s">
        <v>37</v>
      </c>
      <c r="D20" s="75">
        <v>210</v>
      </c>
      <c r="E20" s="75">
        <v>-267</v>
      </c>
      <c r="F20" s="75">
        <v>-20</v>
      </c>
      <c r="G20" s="75">
        <v>-18</v>
      </c>
      <c r="H20" s="121">
        <v>-48</v>
      </c>
      <c r="J20" s="75">
        <v>-54</v>
      </c>
      <c r="K20" s="75">
        <v>-62</v>
      </c>
      <c r="L20" s="75">
        <v>-27</v>
      </c>
      <c r="M20" s="75">
        <v>-124</v>
      </c>
      <c r="N20" s="75">
        <v>-30</v>
      </c>
      <c r="O20" s="75">
        <v>12</v>
      </c>
      <c r="P20" s="75">
        <v>-12</v>
      </c>
      <c r="Q20" s="75">
        <v>10</v>
      </c>
      <c r="R20" s="75">
        <v>-11</v>
      </c>
      <c r="S20" s="75">
        <v>0</v>
      </c>
      <c r="T20" s="75">
        <v>5</v>
      </c>
      <c r="U20" s="75">
        <v>-12</v>
      </c>
      <c r="V20" s="75">
        <v>-33</v>
      </c>
      <c r="W20" s="75">
        <v>-6</v>
      </c>
      <c r="X20" s="75">
        <v>-7</v>
      </c>
      <c r="Y20" s="75">
        <v>-2</v>
      </c>
      <c r="Z20" s="122">
        <v>-2</v>
      </c>
      <c r="AA20" s="132">
        <f t="shared" si="5"/>
        <v>0</v>
      </c>
      <c r="AB20" s="75">
        <f t="shared" si="6"/>
        <v>93.93939393939394</v>
      </c>
      <c r="AD20" s="75">
        <v>-18</v>
      </c>
      <c r="AE20" s="122">
        <v>-48</v>
      </c>
      <c r="AF20" s="132" t="str">
        <f t="shared" si="2"/>
        <v>(&gt;100)</v>
      </c>
    </row>
    <row r="21" spans="2:32" s="18" customFormat="1" ht="14.25" customHeight="1">
      <c r="B21" s="31" t="s">
        <v>26</v>
      </c>
      <c r="D21" s="17">
        <v>433</v>
      </c>
      <c r="E21" s="17">
        <v>321</v>
      </c>
      <c r="F21" s="17">
        <v>456</v>
      </c>
      <c r="G21" s="17">
        <v>584</v>
      </c>
      <c r="H21" s="17">
        <v>511</v>
      </c>
      <c r="I21" s="17"/>
      <c r="J21" s="17">
        <v>119</v>
      </c>
      <c r="K21" s="17">
        <v>150</v>
      </c>
      <c r="L21" s="17">
        <v>20</v>
      </c>
      <c r="M21" s="17">
        <v>32</v>
      </c>
      <c r="N21" s="17">
        <v>76</v>
      </c>
      <c r="O21" s="17">
        <v>112</v>
      </c>
      <c r="P21" s="17">
        <v>167</v>
      </c>
      <c r="Q21" s="17">
        <v>101</v>
      </c>
      <c r="R21" s="17">
        <v>113</v>
      </c>
      <c r="S21" s="162">
        <f>SUM(S22:S24)</f>
        <v>106</v>
      </c>
      <c r="T21" s="162">
        <v>214</v>
      </c>
      <c r="U21" s="162">
        <v>151</v>
      </c>
      <c r="V21" s="162">
        <v>122</v>
      </c>
      <c r="W21" s="162">
        <v>109</v>
      </c>
      <c r="X21" s="162">
        <v>120</v>
      </c>
      <c r="Y21" s="162">
        <v>160</v>
      </c>
      <c r="Z21" s="125">
        <f>SUM(Z22:Z24)</f>
        <v>75</v>
      </c>
      <c r="AA21" s="133">
        <f t="shared" si="5"/>
        <v>-53.125</v>
      </c>
      <c r="AB21" s="17">
        <f t="shared" si="6"/>
        <v>-38.52459016393443</v>
      </c>
      <c r="AC21" s="17"/>
      <c r="AD21" s="162">
        <v>584</v>
      </c>
      <c r="AE21" s="125">
        <f>SUM(AE22:AE24)</f>
        <v>511</v>
      </c>
      <c r="AF21" s="133">
        <f t="shared" si="2"/>
        <v>-12.5</v>
      </c>
    </row>
    <row r="22" spans="3:32" ht="14.25">
      <c r="C22" s="33" t="s">
        <v>243</v>
      </c>
      <c r="D22" s="75">
        <v>367</v>
      </c>
      <c r="E22" s="75">
        <v>254</v>
      </c>
      <c r="F22" s="75">
        <v>310</v>
      </c>
      <c r="G22" s="75">
        <v>454</v>
      </c>
      <c r="H22" s="121">
        <v>419</v>
      </c>
      <c r="J22" s="75">
        <v>106</v>
      </c>
      <c r="K22" s="75">
        <v>138</v>
      </c>
      <c r="L22" s="75">
        <v>7</v>
      </c>
      <c r="M22" s="75">
        <v>3</v>
      </c>
      <c r="N22" s="75">
        <v>50</v>
      </c>
      <c r="O22" s="75">
        <v>98</v>
      </c>
      <c r="P22" s="75">
        <v>123</v>
      </c>
      <c r="Q22" s="75">
        <v>39</v>
      </c>
      <c r="R22" s="75">
        <v>84</v>
      </c>
      <c r="S22" s="121">
        <v>82</v>
      </c>
      <c r="T22" s="121">
        <v>152</v>
      </c>
      <c r="U22" s="121">
        <v>136</v>
      </c>
      <c r="V22" s="121">
        <v>109</v>
      </c>
      <c r="W22" s="121">
        <v>97</v>
      </c>
      <c r="X22" s="121">
        <v>110</v>
      </c>
      <c r="Y22" s="121">
        <v>103</v>
      </c>
      <c r="Z22" s="122">
        <v>66</v>
      </c>
      <c r="AA22" s="132">
        <f t="shared" si="5"/>
        <v>-35.922330097087375</v>
      </c>
      <c r="AB22" s="75">
        <f t="shared" si="6"/>
        <v>-39.449541284403665</v>
      </c>
      <c r="AD22" s="121">
        <v>454</v>
      </c>
      <c r="AE22" s="122">
        <v>419</v>
      </c>
      <c r="AF22" s="132">
        <f t="shared" si="2"/>
        <v>-7.70925110132159</v>
      </c>
    </row>
    <row r="23" spans="3:32" ht="14.25">
      <c r="C23" s="33" t="s">
        <v>38</v>
      </c>
      <c r="D23" s="75">
        <v>5</v>
      </c>
      <c r="E23" s="75">
        <v>13</v>
      </c>
      <c r="F23" s="75">
        <v>103</v>
      </c>
      <c r="G23" s="75">
        <v>19</v>
      </c>
      <c r="H23" s="121">
        <v>49</v>
      </c>
      <c r="J23" s="75">
        <v>0</v>
      </c>
      <c r="K23" s="75">
        <v>0</v>
      </c>
      <c r="L23" s="75">
        <v>0</v>
      </c>
      <c r="M23" s="75">
        <v>13</v>
      </c>
      <c r="N23" s="75">
        <v>14</v>
      </c>
      <c r="O23" s="75">
        <v>3</v>
      </c>
      <c r="P23" s="75">
        <v>34</v>
      </c>
      <c r="Q23" s="75">
        <v>52</v>
      </c>
      <c r="R23" s="75">
        <v>6</v>
      </c>
      <c r="S23" s="121">
        <v>9</v>
      </c>
      <c r="T23" s="121">
        <v>1</v>
      </c>
      <c r="U23" s="121">
        <v>3</v>
      </c>
      <c r="V23" s="121">
        <v>2</v>
      </c>
      <c r="W23" s="121">
        <v>6</v>
      </c>
      <c r="X23" s="451">
        <v>0</v>
      </c>
      <c r="Y23" s="121">
        <v>41</v>
      </c>
      <c r="Z23" s="506">
        <v>0</v>
      </c>
      <c r="AA23" s="132">
        <f t="shared" si="5"/>
        <v>-100</v>
      </c>
      <c r="AB23" s="75">
        <f t="shared" si="6"/>
        <v>-100</v>
      </c>
      <c r="AD23" s="121">
        <v>19</v>
      </c>
      <c r="AE23" s="122">
        <v>49</v>
      </c>
      <c r="AF23" s="132" t="str">
        <f t="shared" si="2"/>
        <v>&gt;100</v>
      </c>
    </row>
    <row r="24" spans="3:32" ht="14.25">
      <c r="C24" s="33" t="s">
        <v>39</v>
      </c>
      <c r="D24" s="75">
        <v>61</v>
      </c>
      <c r="E24" s="75">
        <v>54</v>
      </c>
      <c r="F24" s="75">
        <v>43</v>
      </c>
      <c r="G24" s="75">
        <v>111</v>
      </c>
      <c r="H24" s="121">
        <v>43</v>
      </c>
      <c r="J24" s="75">
        <v>13</v>
      </c>
      <c r="K24" s="75">
        <v>12</v>
      </c>
      <c r="L24" s="75">
        <v>13</v>
      </c>
      <c r="M24" s="75">
        <v>16</v>
      </c>
      <c r="N24" s="75">
        <v>12</v>
      </c>
      <c r="O24" s="75">
        <v>11</v>
      </c>
      <c r="P24" s="75">
        <v>10</v>
      </c>
      <c r="Q24" s="75">
        <v>10</v>
      </c>
      <c r="R24" s="75">
        <v>23</v>
      </c>
      <c r="S24" s="121">
        <v>15</v>
      </c>
      <c r="T24" s="121">
        <v>61</v>
      </c>
      <c r="U24" s="121">
        <v>12</v>
      </c>
      <c r="V24" s="121">
        <v>11</v>
      </c>
      <c r="W24" s="121">
        <v>6</v>
      </c>
      <c r="X24" s="121">
        <v>10</v>
      </c>
      <c r="Y24" s="121">
        <v>16</v>
      </c>
      <c r="Z24" s="122">
        <v>9</v>
      </c>
      <c r="AA24" s="132">
        <f t="shared" si="5"/>
        <v>-43.75</v>
      </c>
      <c r="AB24" s="75">
        <f t="shared" si="6"/>
        <v>-18.181818181818176</v>
      </c>
      <c r="AD24" s="121">
        <v>111</v>
      </c>
      <c r="AE24" s="122">
        <v>43</v>
      </c>
      <c r="AF24" s="132">
        <f t="shared" si="2"/>
        <v>-61.261261261261254</v>
      </c>
    </row>
    <row r="25" spans="3:32" ht="14.25">
      <c r="C25" s="22"/>
      <c r="H25" s="171"/>
      <c r="Z25" s="122"/>
      <c r="AA25" s="132"/>
      <c r="AD25" s="367"/>
      <c r="AE25" s="122"/>
      <c r="AF25" s="132"/>
    </row>
    <row r="26" spans="3:32" ht="14.25">
      <c r="C26" s="22"/>
      <c r="H26" s="171"/>
      <c r="Z26" s="122"/>
      <c r="AA26" s="132"/>
      <c r="AD26" s="367"/>
      <c r="AE26" s="122"/>
      <c r="AF26" s="132"/>
    </row>
    <row r="27" spans="3:32" ht="14.25">
      <c r="C27" s="22"/>
      <c r="H27" s="171"/>
      <c r="Z27" s="122"/>
      <c r="AA27" s="132"/>
      <c r="AD27" s="367"/>
      <c r="AE27" s="122"/>
      <c r="AF27" s="132"/>
    </row>
    <row r="28" spans="3:32" ht="14.25">
      <c r="C28" s="22"/>
      <c r="H28" s="171"/>
      <c r="Z28" s="122"/>
      <c r="AA28" s="132"/>
      <c r="AD28" s="367"/>
      <c r="AE28" s="122"/>
      <c r="AF28" s="132"/>
    </row>
    <row r="29" spans="3:32" ht="14.25">
      <c r="C29" s="22"/>
      <c r="H29" s="171"/>
      <c r="Z29" s="122"/>
      <c r="AA29" s="132"/>
      <c r="AD29" s="367"/>
      <c r="AE29" s="122"/>
      <c r="AF29" s="132"/>
    </row>
    <row r="30" spans="3:32" ht="14.25">
      <c r="C30" s="22"/>
      <c r="H30" s="171"/>
      <c r="Z30" s="122"/>
      <c r="AA30" s="132"/>
      <c r="AD30" s="367"/>
      <c r="AE30" s="122"/>
      <c r="AF30" s="132"/>
    </row>
    <row r="31" spans="3:32" ht="14.25">
      <c r="C31" s="22"/>
      <c r="H31" s="171"/>
      <c r="Z31" s="122"/>
      <c r="AA31" s="132"/>
      <c r="AD31" s="367"/>
      <c r="AE31" s="122"/>
      <c r="AF31" s="132"/>
    </row>
    <row r="32" spans="3:32" ht="14.25">
      <c r="C32" s="22"/>
      <c r="H32" s="171"/>
      <c r="Z32" s="122"/>
      <c r="AA32" s="132"/>
      <c r="AD32" s="367"/>
      <c r="AE32" s="122"/>
      <c r="AF32" s="132"/>
    </row>
    <row r="33" spans="3:32" ht="14.25">
      <c r="C33" s="22"/>
      <c r="H33" s="171"/>
      <c r="Z33" s="122"/>
      <c r="AA33" s="132"/>
      <c r="AD33" s="367"/>
      <c r="AE33" s="122"/>
      <c r="AF33" s="132"/>
    </row>
    <row r="34" spans="3:32" ht="14.25">
      <c r="C34" s="22"/>
      <c r="H34" s="171"/>
      <c r="Z34" s="122"/>
      <c r="AA34" s="132"/>
      <c r="AD34" s="367"/>
      <c r="AE34" s="122"/>
      <c r="AF34" s="132"/>
    </row>
    <row r="35" spans="3:31" ht="14.25">
      <c r="C35" s="512" t="s">
        <v>432</v>
      </c>
      <c r="Z35" s="122"/>
      <c r="AA35" s="132"/>
      <c r="AD35" s="367"/>
      <c r="AE35" s="364"/>
    </row>
    <row r="36" spans="3:31" ht="14.25">
      <c r="C36" s="512" t="s">
        <v>434</v>
      </c>
      <c r="AD36" s="367"/>
      <c r="AE36" s="364"/>
    </row>
    <row r="37" spans="30:31" ht="14.25">
      <c r="AD37" s="367"/>
      <c r="AE37" s="364"/>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r:id="rId1"/>
  <ignoredErrors>
    <ignoredError sqref="Z17:Z18" formula="1"/>
  </ignoredErrors>
</worksheet>
</file>

<file path=xl/worksheets/sheet6.xml><?xml version="1.0" encoding="utf-8"?>
<worksheet xmlns="http://schemas.openxmlformats.org/spreadsheetml/2006/main" xmlns:r="http://schemas.openxmlformats.org/officeDocument/2006/relationships">
  <sheetPr>
    <tabColor indexed="47"/>
    <pageSetUpPr fitToPage="1"/>
  </sheetPr>
  <dimension ref="A1:AI25"/>
  <sheetViews>
    <sheetView zoomScale="80" zoomScaleNormal="80" zoomScalePageLayoutView="0" workbookViewId="0" topLeftCell="A1">
      <pane xSplit="3" ySplit="2" topLeftCell="O3" activePane="bottomRight" state="frozen"/>
      <selection pane="topLeft" activeCell="P25" sqref="P25"/>
      <selection pane="topRight" activeCell="P25" sqref="P25"/>
      <selection pane="bottomLeft" activeCell="P25" sqref="P25"/>
      <selection pane="bottomRight" activeCell="V5" sqref="V5:Y25"/>
    </sheetView>
  </sheetViews>
  <sheetFormatPr defaultColWidth="9.140625" defaultRowHeight="12.75" outlineLevelCol="1"/>
  <cols>
    <col min="1" max="1" width="2.140625" style="22" customWidth="1"/>
    <col min="2" max="2" width="3.140625" style="22" customWidth="1"/>
    <col min="3" max="3" width="56.421875" style="10" customWidth="1"/>
    <col min="4" max="4" width="8.7109375" style="76" hidden="1" customWidth="1" outlineLevel="1"/>
    <col min="5" max="8" width="9.140625" style="75" hidden="1" customWidth="1" outlineLevel="1"/>
    <col min="9" max="9" width="3.57421875" style="75" hidden="1" customWidth="1" outlineLevel="1"/>
    <col min="10" max="11" width="8.7109375" style="75" hidden="1" customWidth="1" outlineLevel="1"/>
    <col min="12" max="14" width="8.57421875" style="75" hidden="1" customWidth="1" outlineLevel="1"/>
    <col min="15" max="17" width="8.7109375" style="75" hidden="1" customWidth="1" outlineLevel="1"/>
    <col min="18" max="18" width="8.7109375" style="75" hidden="1" customWidth="1" outlineLevel="1" collapsed="1"/>
    <col min="19" max="19" width="8.7109375" style="75" hidden="1" customWidth="1" outlineLevel="1"/>
    <col min="20" max="20" width="8.7109375" style="75" hidden="1" customWidth="1" outlineLevel="1" collapsed="1"/>
    <col min="21" max="21" width="8.7109375" style="75" hidden="1" customWidth="1" outlineLevel="1"/>
    <col min="22" max="22" width="8.7109375" style="75" customWidth="1" collapsed="1"/>
    <col min="23" max="25" width="8.7109375" style="75" customWidth="1"/>
    <col min="26" max="26" width="8.7109375" style="119" bestFit="1" customWidth="1"/>
    <col min="27" max="27" width="8.57421875" style="75" bestFit="1" customWidth="1"/>
    <col min="28" max="28" width="7.7109375" style="75" customWidth="1"/>
    <col min="29" max="29" width="4.28125" style="75" customWidth="1"/>
    <col min="30" max="30" width="8.57421875" style="75" hidden="1" customWidth="1"/>
    <col min="31" max="31" width="8.57421875" style="119" hidden="1" customWidth="1"/>
    <col min="32" max="32" width="8.421875" style="75" hidden="1" customWidth="1"/>
    <col min="33" max="34" width="9.140625" style="22" customWidth="1"/>
    <col min="35" max="35" width="9.421875" style="22" bestFit="1" customWidth="1"/>
    <col min="36" max="16384" width="9.140625" style="22" customWidth="1"/>
  </cols>
  <sheetData>
    <row r="1" spans="1:32" s="42" customFormat="1" ht="20.25">
      <c r="A1" s="41" t="s">
        <v>0</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C2" s="45"/>
      <c r="AD2" s="74" t="s">
        <v>366</v>
      </c>
      <c r="AE2" s="74" t="s">
        <v>392</v>
      </c>
      <c r="AF2" s="290" t="s">
        <v>393</v>
      </c>
    </row>
    <row r="3" spans="1:32" s="24" customFormat="1" ht="7.5" customHeight="1">
      <c r="A3" s="9"/>
      <c r="D3" s="8"/>
      <c r="E3" s="17"/>
      <c r="F3" s="17"/>
      <c r="G3" s="17"/>
      <c r="H3" s="17"/>
      <c r="I3" s="17"/>
      <c r="J3" s="17"/>
      <c r="K3" s="17"/>
      <c r="L3" s="17"/>
      <c r="M3" s="17"/>
      <c r="N3" s="17"/>
      <c r="O3" s="17"/>
      <c r="P3" s="17"/>
      <c r="Q3" s="17"/>
      <c r="R3" s="17"/>
      <c r="S3" s="17"/>
      <c r="T3" s="17"/>
      <c r="U3" s="17"/>
      <c r="V3" s="17"/>
      <c r="W3" s="17"/>
      <c r="X3" s="17"/>
      <c r="Y3" s="17"/>
      <c r="Z3" s="125"/>
      <c r="AA3" s="17"/>
      <c r="AB3" s="17"/>
      <c r="AC3" s="32"/>
      <c r="AD3" s="17"/>
      <c r="AE3" s="125"/>
      <c r="AF3" s="17"/>
    </row>
    <row r="4" spans="1:32" s="24" customFormat="1" ht="14.25" customHeight="1">
      <c r="A4" s="47" t="s">
        <v>103</v>
      </c>
      <c r="D4" s="8"/>
      <c r="E4" s="17"/>
      <c r="F4" s="17"/>
      <c r="G4" s="17"/>
      <c r="H4" s="17"/>
      <c r="I4" s="17"/>
      <c r="J4" s="17"/>
      <c r="K4" s="17"/>
      <c r="L4" s="17"/>
      <c r="M4" s="17"/>
      <c r="N4" s="17"/>
      <c r="O4" s="17"/>
      <c r="P4" s="17"/>
      <c r="Q4" s="17"/>
      <c r="R4" s="17"/>
      <c r="S4" s="17"/>
      <c r="T4" s="17"/>
      <c r="U4" s="17"/>
      <c r="V4" s="17"/>
      <c r="W4" s="17"/>
      <c r="X4" s="17"/>
      <c r="Y4" s="17"/>
      <c r="Z4" s="125"/>
      <c r="AA4" s="17"/>
      <c r="AB4" s="17"/>
      <c r="AC4" s="32"/>
      <c r="AD4" s="17"/>
      <c r="AE4" s="125"/>
      <c r="AF4" s="17"/>
    </row>
    <row r="5" spans="1:32" s="18" customFormat="1" ht="15">
      <c r="A5" s="31" t="s">
        <v>0</v>
      </c>
      <c r="D5" s="17">
        <v>2610</v>
      </c>
      <c r="E5" s="17">
        <v>2604</v>
      </c>
      <c r="F5" s="17">
        <v>2925</v>
      </c>
      <c r="G5" s="17">
        <v>3303</v>
      </c>
      <c r="H5" s="17">
        <v>3614</v>
      </c>
      <c r="I5" s="17"/>
      <c r="J5" s="17">
        <v>638</v>
      </c>
      <c r="K5" s="17">
        <v>631</v>
      </c>
      <c r="L5" s="17">
        <v>635</v>
      </c>
      <c r="M5" s="17">
        <v>700</v>
      </c>
      <c r="N5" s="17">
        <v>702</v>
      </c>
      <c r="O5" s="17">
        <v>717</v>
      </c>
      <c r="P5" s="17">
        <v>726</v>
      </c>
      <c r="Q5" s="17">
        <v>780</v>
      </c>
      <c r="R5" s="17">
        <f>SUM(R6:R7)</f>
        <v>773</v>
      </c>
      <c r="S5" s="17">
        <v>798</v>
      </c>
      <c r="T5" s="17">
        <v>847</v>
      </c>
      <c r="U5" s="17">
        <v>885</v>
      </c>
      <c r="V5" s="17">
        <v>898</v>
      </c>
      <c r="W5" s="17">
        <v>872</v>
      </c>
      <c r="X5" s="17">
        <v>901.1</v>
      </c>
      <c r="Y5" s="17">
        <v>943.1</v>
      </c>
      <c r="Z5" s="125">
        <f>SUM(Z6:Z7)</f>
        <v>952</v>
      </c>
      <c r="AA5" s="104">
        <f>IF(AND(Z5=0,Y5=0),0,IF(OR(AND(Z5&gt;0,Y5&lt;=0),AND(Z5&lt;0,Y5&gt;=0)),"nm",IF(AND(Z5&lt;0,Y5&lt;0),IF(-(Z5/Y5-1)*100&lt;-100,"(&gt;100)",-(Z5/Y5-1)*100),IF((Z5/Y5-1)*100&gt;100,"&gt;100",(Z5/Y5-1)*100))))</f>
        <v>0.9436963206446825</v>
      </c>
      <c r="AB5" s="133">
        <f>IF(AND(Z5=0,V5=0),0,IF(OR(AND(Z5&gt;0,V5&lt;=0),AND(Z5&lt;0,V5&gt;=0)),"nm",IF(AND(Z5&lt;0,V5&lt;0),IF(-(Z5/V5-1)*100&lt;-100,"(&gt;100)",-(Z5/V5-1)*100),IF((Z5/V5-1)*100&gt;100,"&gt;100",(Z5/V5-1)*100))))</f>
        <v>6.013363028953234</v>
      </c>
      <c r="AC5" s="17"/>
      <c r="AD5" s="17">
        <v>3303</v>
      </c>
      <c r="AE5" s="125">
        <f>SUM(AE6:AE7)</f>
        <v>3614</v>
      </c>
      <c r="AF5" s="104">
        <f>IF(AND(AE5=0,AD5=0),0,IF(OR(AND(AE5&gt;0,AD5&lt;=0),AND(AE5&lt;0,AD5&gt;=0)),"nm",IF(AND(AE5&lt;0,AD5&lt;0),IF(-(AE5/AD5-1)*100&lt;-100,"(&gt;100)",-(AE5/AD5-1)*100),IF((AE5/AD5-1)*100&gt;100,"&gt;100",(AE5/AD5-1)*100))))</f>
        <v>9.415682712685447</v>
      </c>
    </row>
    <row r="6" spans="2:32" s="18" customFormat="1" ht="15">
      <c r="B6" s="31" t="s">
        <v>40</v>
      </c>
      <c r="D6" s="17">
        <v>1256</v>
      </c>
      <c r="E6" s="17">
        <v>1292</v>
      </c>
      <c r="F6" s="17">
        <v>1422</v>
      </c>
      <c r="G6" s="17">
        <v>1712</v>
      </c>
      <c r="H6" s="17">
        <v>1888</v>
      </c>
      <c r="I6" s="17"/>
      <c r="J6" s="17">
        <v>327</v>
      </c>
      <c r="K6" s="17">
        <v>330</v>
      </c>
      <c r="L6" s="17">
        <v>322</v>
      </c>
      <c r="M6" s="17">
        <v>313</v>
      </c>
      <c r="N6" s="17">
        <v>338</v>
      </c>
      <c r="O6" s="17">
        <v>362</v>
      </c>
      <c r="P6" s="17">
        <v>360</v>
      </c>
      <c r="Q6" s="17">
        <v>362</v>
      </c>
      <c r="R6" s="17">
        <v>405</v>
      </c>
      <c r="S6" s="17">
        <v>423</v>
      </c>
      <c r="T6" s="17">
        <v>444</v>
      </c>
      <c r="U6" s="17">
        <v>440</v>
      </c>
      <c r="V6" s="17">
        <v>485</v>
      </c>
      <c r="W6" s="17">
        <v>466</v>
      </c>
      <c r="X6" s="17">
        <v>482</v>
      </c>
      <c r="Y6" s="17">
        <v>455</v>
      </c>
      <c r="Z6" s="125">
        <v>506</v>
      </c>
      <c r="AA6" s="104">
        <f aca="true" t="shared" si="0" ref="AA6:AA11">IF(AND(Z6=0,Y6=0),0,IF(OR(AND(Z6&gt;0,Y6&lt;=0),AND(Z6&lt;0,Y6&gt;=0)),"nm",IF(AND(Z6&lt;0,Y6&lt;0),IF(-(Z6/Y6-1)*100&lt;-100,"(&gt;100)",-(Z6/Y6-1)*100),IF((Z6/Y6-1)*100&gt;100,"&gt;100",(Z6/Y6-1)*100))))</f>
        <v>11.208791208791213</v>
      </c>
      <c r="AB6" s="133">
        <f aca="true" t="shared" si="1" ref="AB6:AB11">IF(AND(Z6=0,V6=0),0,IF(OR(AND(Z6&gt;0,V6&lt;=0),AND(Z6&lt;0,V6&gt;=0)),"nm",IF(AND(Z6&lt;0,V6&lt;0),IF(-(Z6/V6-1)*100&lt;-100,"(&gt;100)",-(Z6/V6-1)*100),IF((Z6/V6-1)*100&gt;100,"&gt;100",(Z6/V6-1)*100))))</f>
        <v>4.329896907216502</v>
      </c>
      <c r="AC6" s="17"/>
      <c r="AD6" s="17">
        <v>1712</v>
      </c>
      <c r="AE6" s="125">
        <v>1888</v>
      </c>
      <c r="AF6" s="133">
        <f aca="true" t="shared" si="2" ref="AF6:AF11">IF(AND(AE6=0,AD6=0),0,IF(OR(AND(AE6&gt;0,AD6&lt;=0),AND(AE6&lt;0,AD6&gt;=0)),"nm",IF(AND(AE6&lt;0,AD6&lt;0),IF(-(AE6/AD6-1)*100&lt;-100,"(&gt;100)",-(AE6/AD6-1)*100),IF((AE6/AD6-1)*100&gt;100,"&gt;100",(AE6/AD6-1)*100))))</f>
        <v>10.280373831775691</v>
      </c>
    </row>
    <row r="7" spans="2:32" s="18" customFormat="1" ht="15">
      <c r="B7" s="31" t="s">
        <v>41</v>
      </c>
      <c r="D7" s="17">
        <v>1354</v>
      </c>
      <c r="E7" s="17">
        <v>1312</v>
      </c>
      <c r="F7" s="17">
        <v>1503</v>
      </c>
      <c r="G7" s="17">
        <v>1591</v>
      </c>
      <c r="H7" s="17">
        <v>1726</v>
      </c>
      <c r="I7" s="17"/>
      <c r="J7" s="17">
        <v>311</v>
      </c>
      <c r="K7" s="17">
        <v>301</v>
      </c>
      <c r="L7" s="17">
        <v>313</v>
      </c>
      <c r="M7" s="17">
        <v>387</v>
      </c>
      <c r="N7" s="17">
        <v>364</v>
      </c>
      <c r="O7" s="17">
        <v>355</v>
      </c>
      <c r="P7" s="17">
        <v>366</v>
      </c>
      <c r="Q7" s="17">
        <v>418</v>
      </c>
      <c r="R7" s="17">
        <v>368</v>
      </c>
      <c r="S7" s="17">
        <v>375</v>
      </c>
      <c r="T7" s="17">
        <v>403</v>
      </c>
      <c r="U7" s="17">
        <v>445</v>
      </c>
      <c r="V7" s="17">
        <v>413</v>
      </c>
      <c r="W7" s="17">
        <v>406</v>
      </c>
      <c r="X7" s="17">
        <v>419.1</v>
      </c>
      <c r="Y7" s="17">
        <v>488.1</v>
      </c>
      <c r="Z7" s="125">
        <f>SUM(Z8:Z11)</f>
        <v>446</v>
      </c>
      <c r="AA7" s="104">
        <f t="shared" si="0"/>
        <v>-8.625281704568744</v>
      </c>
      <c r="AB7" s="133">
        <f t="shared" si="1"/>
        <v>7.9903147699757815</v>
      </c>
      <c r="AC7" s="17"/>
      <c r="AD7" s="17">
        <v>1591</v>
      </c>
      <c r="AE7" s="125">
        <f>SUM(AE8:AE11)</f>
        <v>1726</v>
      </c>
      <c r="AF7" s="133">
        <f t="shared" si="2"/>
        <v>8.48522941546197</v>
      </c>
    </row>
    <row r="8" spans="2:35" ht="15">
      <c r="B8" s="31"/>
      <c r="C8" s="33" t="s">
        <v>42</v>
      </c>
      <c r="D8" s="75">
        <v>253</v>
      </c>
      <c r="E8" s="75">
        <v>265</v>
      </c>
      <c r="F8" s="75">
        <v>269</v>
      </c>
      <c r="G8" s="75">
        <v>291</v>
      </c>
      <c r="H8" s="121">
        <v>330</v>
      </c>
      <c r="J8" s="75">
        <v>71</v>
      </c>
      <c r="K8" s="75">
        <v>67</v>
      </c>
      <c r="L8" s="75">
        <v>71</v>
      </c>
      <c r="M8" s="75">
        <v>56</v>
      </c>
      <c r="N8" s="75">
        <v>70</v>
      </c>
      <c r="O8" s="75">
        <v>65</v>
      </c>
      <c r="P8" s="75">
        <v>67</v>
      </c>
      <c r="Q8" s="75">
        <v>67</v>
      </c>
      <c r="R8" s="75">
        <v>70</v>
      </c>
      <c r="S8" s="75">
        <v>72</v>
      </c>
      <c r="T8" s="75">
        <v>75</v>
      </c>
      <c r="U8" s="75">
        <v>74</v>
      </c>
      <c r="V8" s="75">
        <v>78.9</v>
      </c>
      <c r="W8" s="75">
        <v>80</v>
      </c>
      <c r="X8" s="75">
        <v>82</v>
      </c>
      <c r="Y8" s="75">
        <v>89.1</v>
      </c>
      <c r="Z8" s="122">
        <v>88</v>
      </c>
      <c r="AA8" s="139">
        <f t="shared" si="0"/>
        <v>-1.2345679012345623</v>
      </c>
      <c r="AB8" s="132">
        <f t="shared" si="1"/>
        <v>11.533586818757913</v>
      </c>
      <c r="AD8" s="121">
        <v>291</v>
      </c>
      <c r="AE8" s="122">
        <v>330</v>
      </c>
      <c r="AF8" s="132">
        <f t="shared" si="2"/>
        <v>13.4020618556701</v>
      </c>
      <c r="AI8" s="18"/>
    </row>
    <row r="9" spans="2:32" ht="15">
      <c r="B9" s="31"/>
      <c r="C9" s="33" t="s">
        <v>43</v>
      </c>
      <c r="D9" s="75">
        <v>452</v>
      </c>
      <c r="E9" s="75">
        <v>473</v>
      </c>
      <c r="F9" s="75">
        <v>569</v>
      </c>
      <c r="G9" s="75">
        <v>640</v>
      </c>
      <c r="H9" s="121">
        <v>622</v>
      </c>
      <c r="J9" s="75">
        <v>112</v>
      </c>
      <c r="K9" s="75">
        <v>104</v>
      </c>
      <c r="L9" s="75">
        <v>114</v>
      </c>
      <c r="M9" s="75">
        <v>143</v>
      </c>
      <c r="N9" s="75">
        <v>129</v>
      </c>
      <c r="O9" s="75">
        <v>131</v>
      </c>
      <c r="P9" s="75">
        <v>145</v>
      </c>
      <c r="Q9" s="75">
        <v>164</v>
      </c>
      <c r="R9" s="75">
        <v>152</v>
      </c>
      <c r="S9" s="75">
        <v>147</v>
      </c>
      <c r="T9" s="75">
        <v>163</v>
      </c>
      <c r="U9" s="75">
        <v>178</v>
      </c>
      <c r="V9" s="75">
        <v>148</v>
      </c>
      <c r="W9" s="75">
        <v>146</v>
      </c>
      <c r="X9" s="75">
        <v>148</v>
      </c>
      <c r="Y9" s="75">
        <v>180</v>
      </c>
      <c r="Z9" s="122">
        <v>167</v>
      </c>
      <c r="AA9" s="131">
        <f t="shared" si="0"/>
        <v>-7.222222222222219</v>
      </c>
      <c r="AB9" s="132">
        <f t="shared" si="1"/>
        <v>12.837837837837828</v>
      </c>
      <c r="AD9" s="121">
        <v>640</v>
      </c>
      <c r="AE9" s="122">
        <v>622</v>
      </c>
      <c r="AF9" s="132">
        <f t="shared" si="2"/>
        <v>-2.8124999999999956</v>
      </c>
    </row>
    <row r="10" spans="2:32" ht="15">
      <c r="B10" s="31"/>
      <c r="C10" s="33" t="s">
        <v>44</v>
      </c>
      <c r="D10" s="75">
        <v>147</v>
      </c>
      <c r="E10" s="75">
        <v>132</v>
      </c>
      <c r="F10" s="75">
        <v>136</v>
      </c>
      <c r="G10" s="75">
        <v>170</v>
      </c>
      <c r="H10" s="121">
        <v>222</v>
      </c>
      <c r="J10" s="75">
        <v>33</v>
      </c>
      <c r="K10" s="75">
        <v>33</v>
      </c>
      <c r="L10" s="75">
        <v>27</v>
      </c>
      <c r="M10" s="75">
        <v>39</v>
      </c>
      <c r="N10" s="75">
        <v>31</v>
      </c>
      <c r="O10" s="75">
        <v>35</v>
      </c>
      <c r="P10" s="75">
        <v>33</v>
      </c>
      <c r="Q10" s="75">
        <v>37</v>
      </c>
      <c r="R10" s="75">
        <v>38</v>
      </c>
      <c r="S10" s="75">
        <v>39</v>
      </c>
      <c r="T10" s="75">
        <v>51</v>
      </c>
      <c r="U10" s="75">
        <v>42</v>
      </c>
      <c r="V10" s="75">
        <v>57</v>
      </c>
      <c r="W10" s="75">
        <v>59</v>
      </c>
      <c r="X10" s="75">
        <v>46</v>
      </c>
      <c r="Y10" s="75">
        <v>60</v>
      </c>
      <c r="Z10" s="122">
        <v>50</v>
      </c>
      <c r="AA10" s="131">
        <f t="shared" si="0"/>
        <v>-16.666666666666664</v>
      </c>
      <c r="AB10" s="132">
        <f t="shared" si="1"/>
        <v>-12.28070175438597</v>
      </c>
      <c r="AD10" s="121">
        <v>170</v>
      </c>
      <c r="AE10" s="122">
        <v>222</v>
      </c>
      <c r="AF10" s="132">
        <f t="shared" si="2"/>
        <v>30.58823529411765</v>
      </c>
    </row>
    <row r="11" spans="3:32" ht="14.25">
      <c r="C11" s="33" t="s">
        <v>45</v>
      </c>
      <c r="D11" s="75">
        <v>502</v>
      </c>
      <c r="E11" s="75">
        <v>442</v>
      </c>
      <c r="F11" s="75">
        <v>529</v>
      </c>
      <c r="G11" s="75">
        <v>490</v>
      </c>
      <c r="H11" s="121">
        <v>552</v>
      </c>
      <c r="J11" s="75">
        <v>95</v>
      </c>
      <c r="K11" s="75">
        <v>97</v>
      </c>
      <c r="L11" s="75">
        <v>101</v>
      </c>
      <c r="M11" s="75">
        <v>149</v>
      </c>
      <c r="N11" s="75">
        <v>134</v>
      </c>
      <c r="O11" s="75">
        <v>124</v>
      </c>
      <c r="P11" s="75">
        <v>121</v>
      </c>
      <c r="Q11" s="75">
        <v>150</v>
      </c>
      <c r="R11" s="75">
        <v>108</v>
      </c>
      <c r="S11" s="75">
        <v>117</v>
      </c>
      <c r="T11" s="75">
        <v>114</v>
      </c>
      <c r="U11" s="75">
        <v>151</v>
      </c>
      <c r="V11" s="75">
        <v>129</v>
      </c>
      <c r="W11" s="75">
        <v>121</v>
      </c>
      <c r="X11" s="75">
        <v>143</v>
      </c>
      <c r="Y11" s="75">
        <v>159</v>
      </c>
      <c r="Z11" s="122">
        <v>141</v>
      </c>
      <c r="AA11" s="131">
        <f t="shared" si="0"/>
        <v>-11.32075471698113</v>
      </c>
      <c r="AB11" s="132">
        <f t="shared" si="1"/>
        <v>9.302325581395344</v>
      </c>
      <c r="AD11" s="121">
        <v>490</v>
      </c>
      <c r="AE11" s="122">
        <v>552</v>
      </c>
      <c r="AF11" s="132">
        <f t="shared" si="2"/>
        <v>12.653061224489793</v>
      </c>
    </row>
    <row r="12" spans="3:32" ht="14.25">
      <c r="C12" s="22"/>
      <c r="D12" s="75"/>
      <c r="H12" s="121"/>
      <c r="Z12" s="122"/>
      <c r="AA12" s="131"/>
      <c r="AB12" s="132"/>
      <c r="AD12" s="121"/>
      <c r="AE12" s="142"/>
      <c r="AF12" s="132"/>
    </row>
    <row r="13" spans="1:32" s="24" customFormat="1" ht="14.25" customHeight="1">
      <c r="A13" s="88" t="s">
        <v>102</v>
      </c>
      <c r="D13" s="17"/>
      <c r="E13" s="17"/>
      <c r="F13" s="17"/>
      <c r="G13" s="17"/>
      <c r="H13" s="17"/>
      <c r="I13" s="17"/>
      <c r="J13" s="17"/>
      <c r="K13" s="17"/>
      <c r="L13" s="17"/>
      <c r="M13" s="17"/>
      <c r="N13" s="17"/>
      <c r="O13" s="17"/>
      <c r="P13" s="17"/>
      <c r="Q13" s="17"/>
      <c r="R13" s="17"/>
      <c r="S13" s="17"/>
      <c r="T13" s="17"/>
      <c r="U13" s="17"/>
      <c r="V13" s="17"/>
      <c r="W13" s="17"/>
      <c r="X13" s="17"/>
      <c r="Y13" s="17"/>
      <c r="Z13" s="122"/>
      <c r="AA13" s="341"/>
      <c r="AB13" s="342"/>
      <c r="AC13" s="343"/>
      <c r="AD13" s="17"/>
      <c r="AE13" s="144"/>
      <c r="AF13" s="133"/>
    </row>
    <row r="14" spans="2:32" ht="14.25">
      <c r="B14" s="22" t="s">
        <v>105</v>
      </c>
      <c r="C14" s="22"/>
      <c r="D14" s="75">
        <v>149</v>
      </c>
      <c r="E14" s="75">
        <v>195</v>
      </c>
      <c r="F14" s="75">
        <v>193</v>
      </c>
      <c r="G14" s="75">
        <v>185</v>
      </c>
      <c r="H14" s="121">
        <v>179</v>
      </c>
      <c r="J14" s="75">
        <v>41</v>
      </c>
      <c r="K14" s="75">
        <v>42</v>
      </c>
      <c r="L14" s="75">
        <v>64</v>
      </c>
      <c r="M14" s="75">
        <v>48</v>
      </c>
      <c r="N14" s="75">
        <v>48</v>
      </c>
      <c r="O14" s="75">
        <v>46</v>
      </c>
      <c r="P14" s="75">
        <v>43</v>
      </c>
      <c r="Q14" s="75">
        <v>56</v>
      </c>
      <c r="R14" s="75">
        <v>46</v>
      </c>
      <c r="S14" s="75">
        <v>44</v>
      </c>
      <c r="T14" s="75">
        <v>45</v>
      </c>
      <c r="U14" s="75">
        <v>50</v>
      </c>
      <c r="V14" s="75">
        <v>40</v>
      </c>
      <c r="W14" s="75">
        <v>43</v>
      </c>
      <c r="X14" s="75">
        <v>43</v>
      </c>
      <c r="Y14" s="75">
        <v>53</v>
      </c>
      <c r="Z14" s="122">
        <v>55</v>
      </c>
      <c r="AA14" s="140">
        <f>IF(AND(Z14=0,Y14=0),0,IF(OR(AND(Z14&gt;0,Y14&lt;=0),AND(Z14&lt;0,Y14&gt;=0)),"nm",IF(AND(Z14&lt;0,Y14&lt;0),IF(-(Z14/Y14-1)*100&lt;-100,"(&gt;100)",-(Z14/Y14-1)*100),IF((Z14/Y14-1)*100&gt;100,"&gt;100",(Z14/Y14-1)*100))))</f>
        <v>3.7735849056603765</v>
      </c>
      <c r="AB14" s="139">
        <f>IF(AND(Z14=0,V14=0),0,IF(OR(AND(Z14&gt;0,V14&lt;=0),AND(Z14&lt;0,V14&gt;=0)),"nm",IF(AND(Z14&lt;0,V14&lt;0),IF(-(Z14/V14-1)*100&lt;-100,"(&gt;100)",-(Z14/V14-1)*100),IF((Z14/V14-1)*100&gt;100,"&gt;100",(Z14/V14-1)*100))))</f>
        <v>37.5</v>
      </c>
      <c r="AC14" s="121"/>
      <c r="AD14" s="121">
        <v>185</v>
      </c>
      <c r="AE14" s="122">
        <v>179</v>
      </c>
      <c r="AF14" s="132">
        <f>IF(AND(AE14=0,AD14=0),0,IF(OR(AND(AE14&gt;0,AD14&lt;=0),AND(AE14&lt;0,AD14&gt;=0)),"nm",IF(AND(AE14&lt;0,AD14&lt;0),IF(-(AE14/AD14-1)*100&lt;-100,"(&gt;100)",-(AE14/AD14-1)*100),IF((AE14/AD14-1)*100&gt;100,"&gt;100",(AE14/AD14-1)*100))))</f>
        <v>-3.2432432432432434</v>
      </c>
    </row>
    <row r="15" spans="2:32" ht="14.25">
      <c r="B15" s="22" t="s">
        <v>233</v>
      </c>
      <c r="C15" s="22"/>
      <c r="D15" s="75">
        <v>3</v>
      </c>
      <c r="E15" s="75">
        <v>3</v>
      </c>
      <c r="F15" s="75">
        <v>3</v>
      </c>
      <c r="G15" s="75">
        <v>3</v>
      </c>
      <c r="H15" s="121">
        <v>3</v>
      </c>
      <c r="J15" s="75">
        <v>1</v>
      </c>
      <c r="K15" s="75">
        <v>1</v>
      </c>
      <c r="L15" s="75">
        <v>1</v>
      </c>
      <c r="M15" s="75">
        <v>1</v>
      </c>
      <c r="N15" s="75">
        <v>1</v>
      </c>
      <c r="O15" s="75">
        <v>1</v>
      </c>
      <c r="P15" s="75">
        <v>1</v>
      </c>
      <c r="Q15" s="75">
        <v>1</v>
      </c>
      <c r="R15" s="75">
        <v>1</v>
      </c>
      <c r="S15" s="75">
        <v>1</v>
      </c>
      <c r="T15" s="75">
        <v>1</v>
      </c>
      <c r="U15" s="75">
        <v>1</v>
      </c>
      <c r="V15" s="75">
        <v>1</v>
      </c>
      <c r="W15" s="75">
        <v>0</v>
      </c>
      <c r="X15" s="75">
        <v>1</v>
      </c>
      <c r="Y15" s="75">
        <v>1</v>
      </c>
      <c r="Z15" s="122">
        <v>1</v>
      </c>
      <c r="AA15" s="139">
        <f>IF(AND(Z15=0,Y15=0),0,IF(OR(AND(Z15&gt;0,Y15&lt;=0),AND(Z15&lt;0,Y15&gt;=0)),"nm",IF(AND(Z15&lt;0,Y15&lt;0),IF(-(Z15/Y15-1)*100&lt;-100,"(&gt;100)",-(Z15/Y15-1)*100),IF((Z15/Y15-1)*100&gt;100,"&gt;100",(Z15/Y15-1)*100))))</f>
        <v>0</v>
      </c>
      <c r="AB15" s="139">
        <f>IF(AND(Z15=0,V15=0),0,IF(OR(AND(Z15&gt;0,V15&lt;=0),AND(Z15&lt;0,V15&gt;=0)),"nm",IF(AND(Z15&lt;0,V15&lt;0),IF(-(Z15/V15-1)*100&lt;-100,"(&gt;100)",-(Z15/V15-1)*100),IF((Z15/V15-1)*100&gt;100,"&gt;100",(Z15/V15-1)*100))))</f>
        <v>0</v>
      </c>
      <c r="AC15" s="121"/>
      <c r="AD15" s="121">
        <v>3</v>
      </c>
      <c r="AE15" s="122">
        <v>3</v>
      </c>
      <c r="AF15" s="132">
        <f>IF(AND(AE15=0,AD15=0),0,IF(OR(AND(AE15&gt;0,AD15&lt;=0),AND(AE15&lt;0,AD15&gt;=0)),"nm",IF(AND(AE15&lt;0,AD15&lt;0),IF(-(AE15/AD15-1)*100&lt;-100,"(&gt;100)",-(AE15/AD15-1)*100),IF((AE15/AD15-1)*100&gt;100,"&gt;100",(AE15/AD15-1)*100))))</f>
        <v>0</v>
      </c>
    </row>
    <row r="16" spans="2:32" ht="14.25">
      <c r="B16" s="22" t="s">
        <v>234</v>
      </c>
      <c r="C16" s="22"/>
      <c r="D16" s="75">
        <v>5</v>
      </c>
      <c r="E16" s="75">
        <v>5</v>
      </c>
      <c r="F16" s="75">
        <v>6</v>
      </c>
      <c r="G16" s="75">
        <v>6</v>
      </c>
      <c r="H16" s="121">
        <v>6</v>
      </c>
      <c r="J16" s="75">
        <v>2</v>
      </c>
      <c r="K16" s="75">
        <v>2</v>
      </c>
      <c r="L16" s="75">
        <v>1</v>
      </c>
      <c r="M16" s="75">
        <v>1</v>
      </c>
      <c r="N16" s="75">
        <v>2</v>
      </c>
      <c r="O16" s="75">
        <v>2</v>
      </c>
      <c r="P16" s="75">
        <v>2</v>
      </c>
      <c r="Q16" s="75">
        <v>0</v>
      </c>
      <c r="R16" s="75">
        <v>1</v>
      </c>
      <c r="S16" s="75">
        <v>2</v>
      </c>
      <c r="T16" s="75">
        <v>2</v>
      </c>
      <c r="U16" s="75">
        <v>1</v>
      </c>
      <c r="V16" s="75">
        <v>2</v>
      </c>
      <c r="W16" s="75">
        <v>1</v>
      </c>
      <c r="X16" s="75">
        <v>2</v>
      </c>
      <c r="Y16" s="75">
        <v>1</v>
      </c>
      <c r="Z16" s="122">
        <v>2</v>
      </c>
      <c r="AA16" s="139">
        <f>IF(AND(Z16=0,Y16=0),0,IF(OR(AND(Z16&gt;0,Y16&lt;=0),AND(Z16&lt;0,Y16&gt;=0)),"nm",IF(AND(Z16&lt;0,Y16&lt;0),IF(-(Z16/Y16-1)*100&lt;-100,"(&gt;100)",-(Z16/Y16-1)*100),IF((Z16/Y16-1)*100&gt;100,"&gt;100",(Z16/Y16-1)*100))))</f>
        <v>100</v>
      </c>
      <c r="AB16" s="139">
        <f>IF(AND(Z16=0,V16=0),0,IF(OR(AND(Z16&gt;0,V16&lt;=0),AND(Z16&lt;0,V16&gt;=0)),"nm",IF(AND(Z16&lt;0,V16&lt;0),IF(-(Z16/V16-1)*100&lt;-100,"(&gt;100)",-(Z16/V16-1)*100),IF((Z16/V16-1)*100&gt;100,"&gt;100",(Z16/V16-1)*100))))</f>
        <v>0</v>
      </c>
      <c r="AC16" s="121"/>
      <c r="AD16" s="121">
        <v>6</v>
      </c>
      <c r="AE16" s="122">
        <v>6</v>
      </c>
      <c r="AF16" s="132">
        <f>IF(AND(AE16=0,AD16=0),0,IF(OR(AND(AE16&gt;0,AD16&lt;=0),AND(AE16&lt;0,AD16&gt;=0)),"nm",IF(AND(AE16&lt;0,AD16&lt;0),IF(-(AE16/AD16-1)*100&lt;-100,"(&gt;100)",-(AE16/AD16-1)*100),IF((AE16/AD16-1)*100&gt;100,"&gt;100",(AE16/AD16-1)*100))))</f>
        <v>0</v>
      </c>
    </row>
    <row r="17" spans="2:32" ht="14.25">
      <c r="B17" s="36" t="s">
        <v>323</v>
      </c>
      <c r="C17" s="22"/>
      <c r="D17" s="75">
        <v>14312</v>
      </c>
      <c r="E17" s="75">
        <v>14033</v>
      </c>
      <c r="F17" s="75">
        <v>15847</v>
      </c>
      <c r="G17" s="75">
        <v>17652</v>
      </c>
      <c r="H17" s="121">
        <v>18433</v>
      </c>
      <c r="J17" s="75">
        <v>14082</v>
      </c>
      <c r="K17" s="75">
        <v>13928</v>
      </c>
      <c r="L17" s="75">
        <v>13868</v>
      </c>
      <c r="M17" s="75">
        <v>14033</v>
      </c>
      <c r="N17" s="75">
        <v>14267</v>
      </c>
      <c r="O17" s="75">
        <v>14615</v>
      </c>
      <c r="P17" s="75">
        <v>15206</v>
      </c>
      <c r="Q17" s="75">
        <v>15847</v>
      </c>
      <c r="R17" s="75">
        <v>16617</v>
      </c>
      <c r="S17" s="75">
        <v>17274</v>
      </c>
      <c r="T17" s="75">
        <v>17550</v>
      </c>
      <c r="U17" s="75">
        <v>17652</v>
      </c>
      <c r="V17" s="75">
        <v>17644</v>
      </c>
      <c r="W17" s="75">
        <v>17910</v>
      </c>
      <c r="X17" s="75">
        <v>18216</v>
      </c>
      <c r="Y17" s="75">
        <v>18433</v>
      </c>
      <c r="Z17" s="122">
        <v>18523</v>
      </c>
      <c r="AA17" s="140">
        <f>IF(AND(Z17=0,Y17=0),0,IF(OR(AND(Z17&gt;0,Y17&lt;=0),AND(Z17&lt;0,Y17&gt;=0)),"nm",IF(AND(Z17&lt;0,Y17&lt;0),IF(-(Z17/Y17-1)*100&lt;-100,"(&gt;100)",-(Z17/Y17-1)*100),IF((Z17/Y17-1)*100&gt;100,"&gt;100",(Z17/Y17-1)*100))))</f>
        <v>0.48825476048390826</v>
      </c>
      <c r="AB17" s="139">
        <f>IF(AND(Z17=0,V17=0),0,IF(OR(AND(Z17&gt;0,V17&lt;=0),AND(Z17&lt;0,V17&gt;=0)),"nm",IF(AND(Z17&lt;0,V17&lt;0),IF(-(Z17/V17-1)*100&lt;-100,"(&gt;100)",-(Z17/V17-1)*100),IF((Z17/V17-1)*100&gt;100,"&gt;100",(Z17/V17-1)*100))))</f>
        <v>4.981863523010666</v>
      </c>
      <c r="AC17" s="121"/>
      <c r="AD17" s="121">
        <v>17652</v>
      </c>
      <c r="AE17" s="122">
        <v>18433</v>
      </c>
      <c r="AF17" s="132">
        <f>IF(AND(AE17=0,AD17=0),0,IF(OR(AND(AE17&gt;0,AD17&lt;=0),AND(AE17&lt;0,AD17&gt;=0)),"nm",IF(AND(AE17&lt;0,AD17&lt;0),IF(-(AE17/AD17-1)*100&lt;-100,"(&gt;100)",-(AE17/AD17-1)*100),IF((AE17/AD17-1)*100&gt;100,"&gt;100",(AE17/AD17-1)*100))))</f>
        <v>4.4244278268751325</v>
      </c>
    </row>
    <row r="18" spans="8:32" ht="14.25">
      <c r="H18" s="121"/>
      <c r="Z18" s="122"/>
      <c r="AA18" s="140"/>
      <c r="AB18" s="139"/>
      <c r="AC18" s="121"/>
      <c r="AD18" s="121"/>
      <c r="AE18" s="122"/>
      <c r="AF18" s="132"/>
    </row>
    <row r="19" spans="26:31" ht="14.25">
      <c r="Z19" s="364"/>
      <c r="AA19" s="121"/>
      <c r="AB19" s="121"/>
      <c r="AC19" s="121"/>
      <c r="AD19" s="121"/>
      <c r="AE19" s="364"/>
    </row>
    <row r="20" spans="26:31" ht="14.25">
      <c r="Z20" s="364"/>
      <c r="AA20" s="121"/>
      <c r="AB20" s="121"/>
      <c r="AC20" s="121"/>
      <c r="AD20" s="121"/>
      <c r="AE20" s="364"/>
    </row>
    <row r="21" spans="26:31" ht="14.25">
      <c r="Z21" s="364"/>
      <c r="AA21" s="121"/>
      <c r="AB21" s="121"/>
      <c r="AC21" s="121"/>
      <c r="AD21" s="121"/>
      <c r="AE21" s="364"/>
    </row>
    <row r="22" spans="26:31" ht="14.25">
      <c r="Z22" s="364"/>
      <c r="AE22" s="364"/>
    </row>
    <row r="23" ht="14.25">
      <c r="Z23" s="364"/>
    </row>
    <row r="24" ht="14.25">
      <c r="Z24" s="364"/>
    </row>
    <row r="25" ht="14.25">
      <c r="Z25" s="364"/>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8" r:id="rId1"/>
  <ignoredErrors>
    <ignoredError sqref="R5" formulaRange="1"/>
    <ignoredError sqref="Z7" formula="1"/>
  </ignoredErrors>
</worksheet>
</file>

<file path=xl/worksheets/sheet7.xml><?xml version="1.0" encoding="utf-8"?>
<worksheet xmlns="http://schemas.openxmlformats.org/spreadsheetml/2006/main" xmlns:r="http://schemas.openxmlformats.org/officeDocument/2006/relationships">
  <sheetPr>
    <tabColor indexed="47"/>
    <pageSetUpPr fitToPage="1"/>
  </sheetPr>
  <dimension ref="A1:AF42"/>
  <sheetViews>
    <sheetView zoomScale="80" zoomScaleNormal="80" zoomScalePageLayoutView="0" workbookViewId="0" topLeftCell="A1">
      <pane xSplit="3" ySplit="2" topLeftCell="V3" activePane="bottomRight" state="frozen"/>
      <selection pane="topLeft" activeCell="A1" sqref="A1"/>
      <selection pane="topRight" activeCell="D1" sqref="D1"/>
      <selection pane="bottomLeft" activeCell="A3" sqref="A3"/>
      <selection pane="bottomRight" activeCell="V5" sqref="V5:Y28"/>
    </sheetView>
  </sheetViews>
  <sheetFormatPr defaultColWidth="9.140625" defaultRowHeight="12.75" outlineLevelCol="1"/>
  <cols>
    <col min="1" max="1" width="2.8515625" style="22" customWidth="1"/>
    <col min="2" max="2" width="2.421875" style="22" customWidth="1"/>
    <col min="3" max="3" width="27.7109375" style="10" customWidth="1"/>
    <col min="4" max="4" width="8.8515625" style="76" hidden="1" customWidth="1" outlineLevel="1"/>
    <col min="5" max="8" width="8.8515625" style="75" hidden="1" customWidth="1" outlineLevel="1"/>
    <col min="9" max="9" width="2.7109375" style="75" hidden="1" customWidth="1" outlineLevel="1"/>
    <col min="10" max="17" width="8.8515625" style="75" hidden="1" customWidth="1" outlineLevel="1"/>
    <col min="18" max="19" width="8.8515625" style="75" hidden="1" customWidth="1" outlineLevel="1" collapsed="1"/>
    <col min="20" max="21" width="8.8515625" style="75" hidden="1" customWidth="1" outlineLevel="1"/>
    <col min="22" max="22" width="8.8515625" style="75" customWidth="1" collapsed="1"/>
    <col min="23" max="25" width="8.8515625" style="75" customWidth="1"/>
    <col min="26" max="26" width="8.8515625" style="119" customWidth="1"/>
    <col min="27" max="27" width="8.57421875" style="75" customWidth="1"/>
    <col min="28" max="28" width="9.00390625" style="75" bestFit="1" customWidth="1"/>
    <col min="29" max="29" width="1.8515625" style="75" customWidth="1"/>
    <col min="30" max="30" width="8.57421875" style="75" hidden="1" customWidth="1"/>
    <col min="31" max="31" width="8.421875" style="119" hidden="1" customWidth="1"/>
    <col min="32" max="32" width="8.57421875" style="75" hidden="1" customWidth="1"/>
    <col min="33" max="16384" width="9.140625" style="22" customWidth="1"/>
  </cols>
  <sheetData>
    <row r="1" spans="1:32" s="42" customFormat="1" ht="20.25">
      <c r="A1" s="41" t="s">
        <v>8</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C2" s="45"/>
      <c r="AD2" s="290" t="s">
        <v>366</v>
      </c>
      <c r="AE2" s="290" t="s">
        <v>392</v>
      </c>
      <c r="AF2" s="290" t="s">
        <v>393</v>
      </c>
    </row>
    <row r="3" spans="1:32" s="24" customFormat="1" ht="10.5" customHeight="1">
      <c r="A3" s="9"/>
      <c r="D3" s="8"/>
      <c r="E3" s="17"/>
      <c r="F3" s="17"/>
      <c r="G3" s="17"/>
      <c r="H3" s="17"/>
      <c r="I3" s="17"/>
      <c r="J3" s="17"/>
      <c r="K3" s="17"/>
      <c r="L3" s="17"/>
      <c r="M3" s="17"/>
      <c r="N3" s="17"/>
      <c r="O3" s="17"/>
      <c r="P3" s="17"/>
      <c r="Q3" s="17"/>
      <c r="R3" s="17"/>
      <c r="S3" s="17"/>
      <c r="T3" s="17"/>
      <c r="U3" s="17"/>
      <c r="V3" s="17"/>
      <c r="W3" s="17"/>
      <c r="X3" s="17"/>
      <c r="Y3" s="17"/>
      <c r="Z3" s="125"/>
      <c r="AA3" s="17"/>
      <c r="AB3" s="17"/>
      <c r="AC3" s="32"/>
      <c r="AD3" s="17"/>
      <c r="AE3" s="125"/>
      <c r="AF3" s="17"/>
    </row>
    <row r="4" spans="1:32" s="24" customFormat="1" ht="15">
      <c r="A4" s="47" t="s">
        <v>103</v>
      </c>
      <c r="D4" s="8"/>
      <c r="E4" s="17"/>
      <c r="F4" s="17"/>
      <c r="G4" s="17"/>
      <c r="H4" s="17"/>
      <c r="I4" s="17"/>
      <c r="J4" s="17"/>
      <c r="K4" s="17"/>
      <c r="L4" s="17"/>
      <c r="M4" s="17"/>
      <c r="N4" s="17"/>
      <c r="O4" s="17"/>
      <c r="P4" s="17"/>
      <c r="Q4" s="17"/>
      <c r="R4" s="17"/>
      <c r="S4" s="17"/>
      <c r="T4" s="17"/>
      <c r="U4" s="17"/>
      <c r="V4" s="17"/>
      <c r="W4" s="17"/>
      <c r="X4" s="17"/>
      <c r="Y4" s="17"/>
      <c r="Z4" s="365"/>
      <c r="AA4" s="17"/>
      <c r="AB4" s="17"/>
      <c r="AC4" s="32"/>
      <c r="AD4" s="17"/>
      <c r="AE4" s="141"/>
      <c r="AF4" s="17"/>
    </row>
    <row r="5" spans="1:32" s="18" customFormat="1" ht="15">
      <c r="A5" s="31" t="s">
        <v>106</v>
      </c>
      <c r="D5" s="17">
        <v>784</v>
      </c>
      <c r="E5" s="17">
        <v>1529</v>
      </c>
      <c r="F5" s="17">
        <v>911</v>
      </c>
      <c r="G5" s="17">
        <v>722</v>
      </c>
      <c r="H5" s="17">
        <f>AE5</f>
        <v>417</v>
      </c>
      <c r="I5" s="17"/>
      <c r="J5" s="17">
        <v>414</v>
      </c>
      <c r="K5" s="17">
        <v>466</v>
      </c>
      <c r="L5" s="17">
        <v>265</v>
      </c>
      <c r="M5" s="17">
        <v>384</v>
      </c>
      <c r="N5" s="17">
        <v>355</v>
      </c>
      <c r="O5" s="17">
        <v>204</v>
      </c>
      <c r="P5" s="17">
        <v>195</v>
      </c>
      <c r="Q5" s="17">
        <v>157</v>
      </c>
      <c r="R5" s="267">
        <v>125</v>
      </c>
      <c r="S5" s="267">
        <v>137</v>
      </c>
      <c r="T5" s="267">
        <v>231</v>
      </c>
      <c r="U5" s="267">
        <v>229</v>
      </c>
      <c r="V5" s="267">
        <v>144</v>
      </c>
      <c r="W5" s="267">
        <v>104</v>
      </c>
      <c r="X5" s="267">
        <v>55</v>
      </c>
      <c r="Y5" s="267">
        <v>114</v>
      </c>
      <c r="Z5" s="125">
        <f>Z6+Z7+Z13</f>
        <v>223</v>
      </c>
      <c r="AA5" s="267">
        <f>IF(AND(Z5=0,Y5=0),0,IF(OR(AND(Z5&gt;0,Y5&lt;=0),AND(Z5&lt;0,Y5&gt;=0)),"nm",IF(AND(Z5&lt;0,Y5&lt;0),IF(-(Z5/Y5-1)*100&lt;-100,"(&gt;100)",-(Z5/Y5-1)*100),IF((Z5/Y5-1)*100&gt;100,"&gt;100",(Z5/Y5-1)*100))))</f>
        <v>95.6140350877193</v>
      </c>
      <c r="AB5" s="267">
        <f>IF(AND(Z5=0,V5=0),0,IF(OR(AND(Z5&gt;0,V5&lt;=0),AND(Z5&lt;0,V5&gt;=0)),"nm",IF(AND(Z5&lt;0,V5&lt;0),IF(-(Z5/V5-1)*100&lt;-100,"(&gt;100)",-(Z5/V5-1)*100),IF((Z5/V5-1)*100&gt;100,"&gt;100",(Z5/V5-1)*100))))</f>
        <v>54.861111111111114</v>
      </c>
      <c r="AC5" s="267"/>
      <c r="AD5" s="267">
        <v>722</v>
      </c>
      <c r="AE5" s="125">
        <f>AE6+AE7+AE13</f>
        <v>417</v>
      </c>
      <c r="AF5" s="17">
        <f>IF(AND(AE5=0,AD5=0),0,IF(OR(AND(AE5&gt;0,AD5&lt;=0),AND(AE5&lt;0,AD5&gt;=0)),"nm",IF(AND(AE5&lt;0,AD5&lt;0),IF(-(AE5/AD5-1)*100&lt;-100,"(&gt;100)",-(AE5/AD5-1)*100),IF((AE5/AD5-1)*100&gt;100,"&gt;100",(AE5/AD5-1)*100))))</f>
        <v>-42.24376731301939</v>
      </c>
    </row>
    <row r="6" spans="2:32" s="18" customFormat="1" ht="15">
      <c r="B6" s="31" t="s">
        <v>185</v>
      </c>
      <c r="D6" s="17">
        <v>234</v>
      </c>
      <c r="E6" s="17">
        <v>154</v>
      </c>
      <c r="F6" s="17">
        <v>232</v>
      </c>
      <c r="G6" s="17">
        <v>478</v>
      </c>
      <c r="H6" s="17">
        <f aca="true" t="shared" si="0" ref="H6:H13">AE6</f>
        <v>211</v>
      </c>
      <c r="I6" s="17"/>
      <c r="J6" s="17">
        <v>182</v>
      </c>
      <c r="K6" s="17">
        <v>183</v>
      </c>
      <c r="L6" s="17">
        <v>14</v>
      </c>
      <c r="M6" s="17">
        <v>-225</v>
      </c>
      <c r="N6" s="17">
        <v>25</v>
      </c>
      <c r="O6" s="17">
        <v>124</v>
      </c>
      <c r="P6" s="17">
        <v>39</v>
      </c>
      <c r="Q6" s="17">
        <v>44</v>
      </c>
      <c r="R6" s="267">
        <v>61</v>
      </c>
      <c r="S6" s="267">
        <v>99</v>
      </c>
      <c r="T6" s="267">
        <v>187</v>
      </c>
      <c r="U6" s="267">
        <v>131</v>
      </c>
      <c r="V6" s="267">
        <v>85</v>
      </c>
      <c r="W6" s="267">
        <v>64</v>
      </c>
      <c r="X6" s="267">
        <v>15</v>
      </c>
      <c r="Y6" s="267">
        <v>47</v>
      </c>
      <c r="Z6" s="125">
        <v>110</v>
      </c>
      <c r="AA6" s="267" t="str">
        <f aca="true" t="shared" si="1" ref="AA6:AA13">IF(AND(Z6=0,Y6=0),0,IF(OR(AND(Z6&gt;0,Y6&lt;=0),AND(Z6&lt;0,Y6&gt;=0)),"nm",IF(AND(Z6&lt;0,Y6&lt;0),IF(-(Z6/Y6-1)*100&lt;-100,"(&gt;100)",-(Z6/Y6-1)*100),IF((Z6/Y6-1)*100&gt;100,"&gt;100",(Z6/Y6-1)*100))))</f>
        <v>&gt;100</v>
      </c>
      <c r="AB6" s="267">
        <f aca="true" t="shared" si="2" ref="AB6:AB13">IF(AND(Z6=0,V6=0),0,IF(OR(AND(Z6&gt;0,V6&lt;=0),AND(Z6&lt;0,V6&gt;=0)),"nm",IF(AND(Z6&lt;0,V6&lt;0),IF(-(Z6/V6-1)*100&lt;-100,"(&gt;100)",-(Z6/V6-1)*100),IF((Z6/V6-1)*100&gt;100,"&gt;100",(Z6/V6-1)*100))))</f>
        <v>29.41176470588236</v>
      </c>
      <c r="AC6" s="267"/>
      <c r="AD6" s="267">
        <v>478</v>
      </c>
      <c r="AE6" s="125">
        <v>211</v>
      </c>
      <c r="AF6" s="17">
        <f aca="true" t="shared" si="3" ref="AF6:AF12">IF(AND(AE6=0,AD6=0),0,IF(OR(AND(AE6&gt;0,AD6&lt;=0),AND(AE6&lt;0,AD6&gt;=0)),"nm",IF(AND(AE6&lt;0,AD6&lt;0),IF(-(AE6/AD6-1)*100&lt;-100,"(&gt;100)",-(AE6/AD6-1)*100),IF((AE6/AD6-1)*100&gt;100,"&gt;100",(AE6/AD6-1)*100))))</f>
        <v>-55.85774058577406</v>
      </c>
    </row>
    <row r="7" spans="2:32" s="18" customFormat="1" ht="15">
      <c r="B7" s="31" t="s">
        <v>186</v>
      </c>
      <c r="C7" s="89"/>
      <c r="D7" s="17">
        <v>419</v>
      </c>
      <c r="E7" s="17">
        <v>1113</v>
      </c>
      <c r="F7" s="17">
        <v>614</v>
      </c>
      <c r="G7" s="17">
        <v>194</v>
      </c>
      <c r="H7" s="17">
        <f t="shared" si="0"/>
        <v>198</v>
      </c>
      <c r="I7" s="17"/>
      <c r="J7" s="17">
        <v>225</v>
      </c>
      <c r="K7" s="17">
        <v>272</v>
      </c>
      <c r="L7" s="17">
        <v>229</v>
      </c>
      <c r="M7" s="17">
        <v>387</v>
      </c>
      <c r="N7" s="17">
        <v>324</v>
      </c>
      <c r="O7" s="17">
        <v>68</v>
      </c>
      <c r="P7" s="17">
        <v>125</v>
      </c>
      <c r="Q7" s="17">
        <v>97</v>
      </c>
      <c r="R7" s="267">
        <v>34</v>
      </c>
      <c r="S7" s="267">
        <v>27</v>
      </c>
      <c r="T7" s="267">
        <v>41</v>
      </c>
      <c r="U7" s="267">
        <v>92</v>
      </c>
      <c r="V7" s="267">
        <v>43</v>
      </c>
      <c r="W7" s="267">
        <v>40</v>
      </c>
      <c r="X7" s="267">
        <v>36</v>
      </c>
      <c r="Y7" s="267">
        <v>79</v>
      </c>
      <c r="Z7" s="125">
        <f>SUM(Z8:Z12)</f>
        <v>114</v>
      </c>
      <c r="AA7" s="267">
        <f t="shared" si="1"/>
        <v>44.303797468354425</v>
      </c>
      <c r="AB7" s="267" t="str">
        <f t="shared" si="2"/>
        <v>&gt;100</v>
      </c>
      <c r="AC7" s="267"/>
      <c r="AD7" s="267">
        <v>194</v>
      </c>
      <c r="AE7" s="125">
        <f>SUM(AE8:AE12)</f>
        <v>198</v>
      </c>
      <c r="AF7" s="17">
        <f t="shared" si="3"/>
        <v>2.0618556701030855</v>
      </c>
    </row>
    <row r="8" spans="2:32" ht="14.25">
      <c r="B8" s="36"/>
      <c r="C8" s="90" t="s">
        <v>48</v>
      </c>
      <c r="D8" s="263" t="s">
        <v>236</v>
      </c>
      <c r="E8" s="75">
        <v>149</v>
      </c>
      <c r="F8" s="75">
        <v>18</v>
      </c>
      <c r="G8" s="75">
        <v>40</v>
      </c>
      <c r="H8" s="121">
        <f t="shared" si="0"/>
        <v>39</v>
      </c>
      <c r="J8" s="75">
        <v>30</v>
      </c>
      <c r="K8" s="75">
        <v>74</v>
      </c>
      <c r="L8" s="75">
        <v>37</v>
      </c>
      <c r="M8" s="75">
        <v>8</v>
      </c>
      <c r="N8" s="75">
        <v>10</v>
      </c>
      <c r="O8" s="75">
        <v>1</v>
      </c>
      <c r="P8" s="75">
        <v>-1</v>
      </c>
      <c r="Q8" s="75">
        <v>8</v>
      </c>
      <c r="R8" s="265">
        <v>2</v>
      </c>
      <c r="S8" s="265">
        <v>-10</v>
      </c>
      <c r="T8" s="265">
        <v>-13</v>
      </c>
      <c r="U8" s="265">
        <v>61</v>
      </c>
      <c r="V8" s="265">
        <v>15</v>
      </c>
      <c r="W8" s="265">
        <v>16</v>
      </c>
      <c r="X8" s="265">
        <v>1</v>
      </c>
      <c r="Y8" s="265">
        <v>7</v>
      </c>
      <c r="Z8" s="122">
        <v>7</v>
      </c>
      <c r="AA8" s="265">
        <f>IF(AND(Z8=0,Y8=0),0,IF(OR(AND(Z8&gt;0,Y8&lt;=0),AND(Z8&lt;0,Y8&gt;=0)),"nm",IF(AND(Z8&lt;0,Y8&lt;0),IF(-(Z8/Y8-1)*100&lt;-100,"(&gt;100)",-(Z8/Y8-1)*100),IF((Z8/Y8-1)*100&gt;100,"&gt;100",(Z8/Y8-1)*100))))</f>
        <v>0</v>
      </c>
      <c r="AB8" s="265">
        <f t="shared" si="2"/>
        <v>-53.333333333333336</v>
      </c>
      <c r="AC8" s="265"/>
      <c r="AD8" s="265">
        <v>40</v>
      </c>
      <c r="AE8" s="122">
        <v>39</v>
      </c>
      <c r="AF8" s="75">
        <f t="shared" si="3"/>
        <v>-2.500000000000002</v>
      </c>
    </row>
    <row r="9" spans="2:32" ht="14.25">
      <c r="B9" s="36"/>
      <c r="C9" s="90" t="s">
        <v>49</v>
      </c>
      <c r="D9" s="263" t="s">
        <v>236</v>
      </c>
      <c r="E9" s="75">
        <v>185</v>
      </c>
      <c r="F9" s="75">
        <v>14</v>
      </c>
      <c r="G9" s="75">
        <v>34</v>
      </c>
      <c r="H9" s="121">
        <f t="shared" si="0"/>
        <v>20</v>
      </c>
      <c r="J9" s="75">
        <v>91</v>
      </c>
      <c r="K9" s="75">
        <v>66</v>
      </c>
      <c r="L9" s="75">
        <v>13</v>
      </c>
      <c r="M9" s="75">
        <v>15</v>
      </c>
      <c r="N9" s="75">
        <v>7</v>
      </c>
      <c r="O9" s="75">
        <v>-4</v>
      </c>
      <c r="P9" s="75">
        <v>8</v>
      </c>
      <c r="Q9" s="75">
        <v>3</v>
      </c>
      <c r="R9" s="265">
        <v>3</v>
      </c>
      <c r="S9" s="265">
        <v>8</v>
      </c>
      <c r="T9" s="265">
        <v>13</v>
      </c>
      <c r="U9" s="265">
        <v>10</v>
      </c>
      <c r="V9" s="265">
        <v>1</v>
      </c>
      <c r="W9" s="265">
        <v>6</v>
      </c>
      <c r="X9" s="265">
        <v>6</v>
      </c>
      <c r="Y9" s="265">
        <v>7</v>
      </c>
      <c r="Z9" s="122">
        <v>8</v>
      </c>
      <c r="AA9" s="265">
        <f t="shared" si="1"/>
        <v>14.28571428571428</v>
      </c>
      <c r="AB9" s="265" t="str">
        <f t="shared" si="2"/>
        <v>&gt;100</v>
      </c>
      <c r="AC9" s="265"/>
      <c r="AD9" s="265">
        <v>34</v>
      </c>
      <c r="AE9" s="122">
        <v>20</v>
      </c>
      <c r="AF9" s="75">
        <f t="shared" si="3"/>
        <v>-41.17647058823529</v>
      </c>
    </row>
    <row r="10" spans="2:32" ht="14.25">
      <c r="B10" s="36"/>
      <c r="C10" s="90" t="s">
        <v>73</v>
      </c>
      <c r="D10" s="263" t="s">
        <v>236</v>
      </c>
      <c r="E10" s="75">
        <v>54</v>
      </c>
      <c r="F10" s="75">
        <v>25</v>
      </c>
      <c r="G10" s="75">
        <v>-12</v>
      </c>
      <c r="H10" s="121">
        <f t="shared" si="0"/>
        <v>11</v>
      </c>
      <c r="J10" s="75">
        <v>14</v>
      </c>
      <c r="K10" s="75">
        <v>11</v>
      </c>
      <c r="L10" s="75">
        <v>7</v>
      </c>
      <c r="M10" s="75">
        <v>22</v>
      </c>
      <c r="N10" s="75">
        <v>-3</v>
      </c>
      <c r="O10" s="75">
        <v>13</v>
      </c>
      <c r="P10" s="75">
        <v>17</v>
      </c>
      <c r="Q10" s="75">
        <v>-2</v>
      </c>
      <c r="R10" s="265">
        <v>-8</v>
      </c>
      <c r="S10" s="265">
        <v>-6</v>
      </c>
      <c r="T10" s="265">
        <v>1</v>
      </c>
      <c r="U10" s="265">
        <v>1</v>
      </c>
      <c r="V10" s="265">
        <v>-1</v>
      </c>
      <c r="W10" s="265">
        <v>-2</v>
      </c>
      <c r="X10" s="265">
        <v>1</v>
      </c>
      <c r="Y10" s="265">
        <v>13</v>
      </c>
      <c r="Z10" s="122">
        <v>2</v>
      </c>
      <c r="AA10" s="265">
        <f t="shared" si="1"/>
        <v>-84.61538461538461</v>
      </c>
      <c r="AB10" s="265" t="str">
        <f t="shared" si="2"/>
        <v>nm</v>
      </c>
      <c r="AC10" s="265"/>
      <c r="AD10" s="265">
        <v>-12</v>
      </c>
      <c r="AE10" s="122">
        <v>11</v>
      </c>
      <c r="AF10" s="75" t="str">
        <f t="shared" si="3"/>
        <v>nm</v>
      </c>
    </row>
    <row r="11" spans="2:32" ht="14.25">
      <c r="B11" s="36"/>
      <c r="C11" s="90" t="s">
        <v>74</v>
      </c>
      <c r="D11" s="75" t="s">
        <v>236</v>
      </c>
      <c r="E11" s="75">
        <v>31</v>
      </c>
      <c r="F11" s="75">
        <v>47</v>
      </c>
      <c r="G11" s="75">
        <v>37</v>
      </c>
      <c r="H11" s="121">
        <f t="shared" si="0"/>
        <v>44</v>
      </c>
      <c r="J11" s="75">
        <v>10</v>
      </c>
      <c r="K11" s="75">
        <v>8</v>
      </c>
      <c r="L11" s="75">
        <v>1</v>
      </c>
      <c r="M11" s="75">
        <v>12</v>
      </c>
      <c r="N11" s="75">
        <v>6</v>
      </c>
      <c r="O11" s="75">
        <v>6</v>
      </c>
      <c r="P11" s="75">
        <v>15</v>
      </c>
      <c r="Q11" s="75">
        <v>20</v>
      </c>
      <c r="R11" s="265">
        <v>2</v>
      </c>
      <c r="S11" s="265">
        <v>4</v>
      </c>
      <c r="T11" s="265">
        <v>12</v>
      </c>
      <c r="U11" s="265">
        <v>19</v>
      </c>
      <c r="V11" s="265">
        <v>6</v>
      </c>
      <c r="W11" s="265">
        <v>12</v>
      </c>
      <c r="X11" s="265">
        <v>9</v>
      </c>
      <c r="Y11" s="265">
        <v>17</v>
      </c>
      <c r="Z11" s="122">
        <v>33</v>
      </c>
      <c r="AA11" s="292">
        <f t="shared" si="1"/>
        <v>94.11764705882352</v>
      </c>
      <c r="AB11" s="265" t="str">
        <f t="shared" si="2"/>
        <v>&gt;100</v>
      </c>
      <c r="AC11" s="265"/>
      <c r="AD11" s="265">
        <v>37</v>
      </c>
      <c r="AE11" s="122">
        <v>44</v>
      </c>
      <c r="AF11" s="75">
        <f t="shared" si="3"/>
        <v>18.918918918918926</v>
      </c>
    </row>
    <row r="12" spans="2:32" ht="14.25">
      <c r="B12" s="36"/>
      <c r="C12" s="90" t="s">
        <v>77</v>
      </c>
      <c r="D12" s="263" t="s">
        <v>236</v>
      </c>
      <c r="E12" s="75">
        <v>694</v>
      </c>
      <c r="F12" s="75">
        <v>510</v>
      </c>
      <c r="G12" s="75">
        <v>95</v>
      </c>
      <c r="H12" s="121">
        <f t="shared" si="0"/>
        <v>84</v>
      </c>
      <c r="J12" s="75">
        <v>80</v>
      </c>
      <c r="K12" s="75">
        <v>113</v>
      </c>
      <c r="L12" s="75">
        <v>171</v>
      </c>
      <c r="M12" s="75">
        <v>330</v>
      </c>
      <c r="N12" s="75">
        <v>304</v>
      </c>
      <c r="O12" s="75">
        <v>52</v>
      </c>
      <c r="P12" s="75">
        <v>86</v>
      </c>
      <c r="Q12" s="75">
        <v>68</v>
      </c>
      <c r="R12" s="265">
        <v>35</v>
      </c>
      <c r="S12" s="265">
        <v>31</v>
      </c>
      <c r="T12" s="265">
        <v>28</v>
      </c>
      <c r="U12" s="265">
        <v>1</v>
      </c>
      <c r="V12" s="265">
        <v>22</v>
      </c>
      <c r="W12" s="265">
        <v>8</v>
      </c>
      <c r="X12" s="265">
        <v>19</v>
      </c>
      <c r="Y12" s="265">
        <v>35</v>
      </c>
      <c r="Z12" s="122">
        <v>64</v>
      </c>
      <c r="AA12" s="265">
        <f t="shared" si="1"/>
        <v>82.85714285714285</v>
      </c>
      <c r="AB12" s="265" t="str">
        <f t="shared" si="2"/>
        <v>&gt;100</v>
      </c>
      <c r="AC12" s="265"/>
      <c r="AD12" s="265">
        <v>95</v>
      </c>
      <c r="AE12" s="122">
        <v>84</v>
      </c>
      <c r="AF12" s="75">
        <f t="shared" si="3"/>
        <v>-11.578947368421055</v>
      </c>
    </row>
    <row r="13" spans="1:32" s="24" customFormat="1" ht="14.25" customHeight="1">
      <c r="A13" s="18"/>
      <c r="B13" s="105" t="s">
        <v>187</v>
      </c>
      <c r="C13" s="105"/>
      <c r="D13" s="17">
        <v>131</v>
      </c>
      <c r="E13" s="17">
        <v>262</v>
      </c>
      <c r="F13" s="17">
        <v>65</v>
      </c>
      <c r="G13" s="17">
        <v>50</v>
      </c>
      <c r="H13" s="17">
        <f t="shared" si="0"/>
        <v>8</v>
      </c>
      <c r="I13" s="17"/>
      <c r="J13" s="17">
        <v>7</v>
      </c>
      <c r="K13" s="17">
        <v>11</v>
      </c>
      <c r="L13" s="17">
        <v>22</v>
      </c>
      <c r="M13" s="17">
        <v>222</v>
      </c>
      <c r="N13" s="17">
        <v>6</v>
      </c>
      <c r="O13" s="17">
        <v>12</v>
      </c>
      <c r="P13" s="17">
        <v>31</v>
      </c>
      <c r="Q13" s="17">
        <v>16</v>
      </c>
      <c r="R13" s="267">
        <v>30</v>
      </c>
      <c r="S13" s="267">
        <v>11</v>
      </c>
      <c r="T13" s="267">
        <v>3</v>
      </c>
      <c r="U13" s="267">
        <v>6</v>
      </c>
      <c r="V13" s="267">
        <v>16</v>
      </c>
      <c r="W13" s="267">
        <v>0</v>
      </c>
      <c r="X13" s="267">
        <v>4</v>
      </c>
      <c r="Y13" s="267">
        <v>-12</v>
      </c>
      <c r="Z13" s="125">
        <v>-1</v>
      </c>
      <c r="AA13" s="267">
        <f t="shared" si="1"/>
        <v>91.66666666666666</v>
      </c>
      <c r="AB13" s="267" t="str">
        <f t="shared" si="2"/>
        <v>nm</v>
      </c>
      <c r="AC13" s="289"/>
      <c r="AD13" s="267">
        <v>50</v>
      </c>
      <c r="AE13" s="125">
        <v>8</v>
      </c>
      <c r="AF13" s="104">
        <f>IF(AND(AE13=0,AD13=0),0,IF(OR(AND(AE13&gt;0,AD13&lt;=0),AND(AE13&lt;0,AD13&gt;=0)),"nm",IF(AND(AE13&lt;0,AD13&lt;0),IF(-(AE13/AD13-1)*100&lt;-100,"(&gt;100)",-(AE13/AD13-1)*100),IF((AE13/AD13-1)*100&gt;100,"&gt;100",(AE13/AD13-1)*100))))</f>
        <v>-84</v>
      </c>
    </row>
    <row r="14" spans="3:31" ht="14.25">
      <c r="C14" s="22"/>
      <c r="D14" s="75"/>
      <c r="H14" s="121"/>
      <c r="R14" s="265"/>
      <c r="S14" s="265"/>
      <c r="T14" s="265"/>
      <c r="U14" s="265"/>
      <c r="V14" s="265"/>
      <c r="W14" s="265"/>
      <c r="X14" s="265"/>
      <c r="Y14" s="265"/>
      <c r="Z14" s="477"/>
      <c r="AA14" s="265"/>
      <c r="AB14" s="265"/>
      <c r="AC14" s="265"/>
      <c r="AD14" s="265"/>
      <c r="AE14" s="142"/>
    </row>
    <row r="15" spans="1:31" ht="15">
      <c r="A15" s="88" t="s">
        <v>190</v>
      </c>
      <c r="B15" s="24"/>
      <c r="C15" s="24"/>
      <c r="D15" s="75"/>
      <c r="H15" s="121"/>
      <c r="R15" s="265"/>
      <c r="S15" s="265"/>
      <c r="T15" s="265"/>
      <c r="U15" s="265"/>
      <c r="V15" s="265"/>
      <c r="W15" s="265"/>
      <c r="X15" s="265"/>
      <c r="Y15" s="265"/>
      <c r="Z15" s="477"/>
      <c r="AE15" s="142"/>
    </row>
    <row r="16" spans="2:31" ht="14.25">
      <c r="B16" s="58" t="s">
        <v>141</v>
      </c>
      <c r="C16" s="90"/>
      <c r="D16" s="75"/>
      <c r="H16" s="121"/>
      <c r="R16" s="265"/>
      <c r="S16" s="265"/>
      <c r="T16" s="265"/>
      <c r="U16" s="265"/>
      <c r="V16" s="265"/>
      <c r="W16" s="265"/>
      <c r="X16" s="265"/>
      <c r="Y16" s="265"/>
      <c r="Z16" s="477"/>
      <c r="AE16" s="142"/>
    </row>
    <row r="17" spans="3:32" ht="14.25">
      <c r="C17" s="90" t="s">
        <v>188</v>
      </c>
      <c r="D17" s="75">
        <v>344</v>
      </c>
      <c r="E17" s="75">
        <v>516</v>
      </c>
      <c r="F17" s="75">
        <v>233</v>
      </c>
      <c r="G17" s="75">
        <v>186</v>
      </c>
      <c r="H17" s="121">
        <f>AE17</f>
        <v>141</v>
      </c>
      <c r="J17" s="75">
        <v>160</v>
      </c>
      <c r="K17" s="75">
        <v>176</v>
      </c>
      <c r="L17" s="75">
        <v>55</v>
      </c>
      <c r="M17" s="75">
        <v>125</v>
      </c>
      <c r="N17" s="75">
        <v>73</v>
      </c>
      <c r="O17" s="75">
        <v>29</v>
      </c>
      <c r="P17" s="75">
        <v>103</v>
      </c>
      <c r="Q17" s="75">
        <v>28</v>
      </c>
      <c r="R17" s="265">
        <v>20</v>
      </c>
      <c r="S17" s="265">
        <v>44</v>
      </c>
      <c r="T17" s="265">
        <v>39</v>
      </c>
      <c r="U17" s="265">
        <v>83</v>
      </c>
      <c r="V17" s="265">
        <v>31</v>
      </c>
      <c r="W17" s="265">
        <v>36</v>
      </c>
      <c r="X17" s="265">
        <v>25</v>
      </c>
      <c r="Y17" s="265">
        <v>43</v>
      </c>
      <c r="Z17" s="122">
        <v>117</v>
      </c>
      <c r="AA17" s="265" t="str">
        <f>IF(AND(Z17=0,Y17=0),0,IF(OR(AND(Z17&gt;0,Y17&lt;=0),AND(Z17&lt;0,Y17&gt;=0)),"nm",IF(AND(Z17&lt;0,Y17&lt;0),IF(-(Z17/Y17-1)*100&lt;-100,"(&gt;100)",-(Z17/Y17-1)*100),IF((Z17/Y17-1)*100&gt;100,"&gt;100",(Z17/Y17-1)*100))))</f>
        <v>&gt;100</v>
      </c>
      <c r="AB17" s="265" t="str">
        <f>IF(AND(Z17=0,V17=0),0,IF(OR(AND(Z17&gt;0,V17&lt;=0),AND(Z17&lt;0,V17&gt;=0)),"nm",IF(AND(Z17&lt;0,V17&lt;0),IF(-(Z17/V17-1)*100&lt;-100,"(&gt;100)",-(Z17/V17-1)*100),IF((Z17/V17-1)*100&gt;100,"&gt;100",(Z17/V17-1)*100))))</f>
        <v>&gt;100</v>
      </c>
      <c r="AC17" s="265"/>
      <c r="AD17" s="265">
        <v>186</v>
      </c>
      <c r="AE17" s="122">
        <v>141</v>
      </c>
      <c r="AF17" s="75">
        <f>IF(AND(AE17=0,AD17=0),0,IF(OR(AND(AE17&gt;0,AD17&lt;=0),AND(AE17&lt;0,AD17&gt;=0)),"nm",IF(AND(AE17&lt;0,AD17&lt;0),IF(-(AE17/AD17-1)*100&lt;-100,"(&gt;100)",-(AE17/AD17-1)*100),IF((AE17/AD17-1)*100&gt;100,"&gt;100",(AE17/AD17-1)*100))))</f>
        <v>-24.193548387096776</v>
      </c>
    </row>
    <row r="18" spans="3:32" ht="14.25">
      <c r="C18" s="22" t="s">
        <v>189</v>
      </c>
      <c r="D18" s="75">
        <v>265</v>
      </c>
      <c r="E18" s="75">
        <v>874</v>
      </c>
      <c r="F18" s="75">
        <v>632</v>
      </c>
      <c r="G18" s="75">
        <v>243</v>
      </c>
      <c r="H18" s="121">
        <f>AE18</f>
        <v>249</v>
      </c>
      <c r="J18" s="75">
        <v>111</v>
      </c>
      <c r="K18" s="75">
        <v>153</v>
      </c>
      <c r="L18" s="75">
        <v>265</v>
      </c>
      <c r="M18" s="75">
        <v>345</v>
      </c>
      <c r="N18" s="75">
        <v>311</v>
      </c>
      <c r="O18" s="75">
        <v>104</v>
      </c>
      <c r="P18" s="75">
        <v>89</v>
      </c>
      <c r="Q18" s="75">
        <v>128</v>
      </c>
      <c r="R18" s="265">
        <v>70</v>
      </c>
      <c r="S18" s="265">
        <v>56</v>
      </c>
      <c r="T18" s="265">
        <v>78</v>
      </c>
      <c r="U18" s="265">
        <v>39</v>
      </c>
      <c r="V18" s="265">
        <v>64</v>
      </c>
      <c r="W18" s="265">
        <v>31</v>
      </c>
      <c r="X18" s="265">
        <v>55</v>
      </c>
      <c r="Y18" s="265">
        <v>73</v>
      </c>
      <c r="Z18" s="122">
        <v>73</v>
      </c>
      <c r="AA18" s="265">
        <f>IF(AND(Z18=0,Y18=0),0,IF(OR(AND(Z18&gt;0,Y18&lt;=0),AND(Z18&lt;0,Y18&gt;=0)),"nm",IF(AND(Z18&lt;0,Y18&lt;0),IF(-(Z18/Y18-1)*100&lt;-100,"(&gt;100)",-(Z18/Y18-1)*100),IF((Z18/Y18-1)*100&gt;100,"&gt;100",(Z18/Y18-1)*100))))</f>
        <v>0</v>
      </c>
      <c r="AB18" s="265">
        <f>IF(AND(Z18=0,V18=0),0,IF(OR(AND(Z18&gt;0,V18&lt;=0),AND(Z18&lt;0,V18&gt;=0)),"nm",IF(AND(Z18&lt;0,V18&lt;0),IF(-(Z18/V18-1)*100&lt;-100,"(&gt;100)",-(Z18/V18-1)*100),IF((Z18/V18-1)*100&gt;100,"&gt;100",(Z18/V18-1)*100))))</f>
        <v>14.0625</v>
      </c>
      <c r="AC18" s="265"/>
      <c r="AD18" s="265">
        <v>243</v>
      </c>
      <c r="AE18" s="122">
        <f>200+47+2</f>
        <v>249</v>
      </c>
      <c r="AF18" s="75">
        <f>IF(AND(AE18=0,AD18=0),0,IF(OR(AND(AE18&gt;0,AD18&lt;=0),AND(AE18&lt;0,AD18&gt;=0)),"nm",IF(AND(AE18&lt;0,AD18&lt;0),IF(-(AE18/AD18-1)*100&lt;-100,"(&gt;100)",-(AE18/AD18-1)*100),IF((AE18/AD18-1)*100&gt;100,"&gt;100",(AE18/AD18-1)*100))))</f>
        <v>2.4691358024691468</v>
      </c>
    </row>
    <row r="19" spans="2:31" ht="14.25">
      <c r="B19" s="58" t="s">
        <v>140</v>
      </c>
      <c r="C19" s="22"/>
      <c r="D19" s="75"/>
      <c r="H19" s="121"/>
      <c r="R19" s="265"/>
      <c r="S19" s="265"/>
      <c r="T19" s="265"/>
      <c r="U19" s="265"/>
      <c r="V19" s="265"/>
      <c r="W19" s="265"/>
      <c r="X19" s="265"/>
      <c r="Y19" s="265"/>
      <c r="Z19" s="122"/>
      <c r="AA19" s="265"/>
      <c r="AB19" s="265"/>
      <c r="AC19" s="265"/>
      <c r="AD19" s="265"/>
      <c r="AE19" s="122"/>
    </row>
    <row r="20" spans="3:32" ht="14.25">
      <c r="C20" s="22" t="s">
        <v>64</v>
      </c>
      <c r="D20" s="75">
        <v>3</v>
      </c>
      <c r="E20" s="75">
        <v>5</v>
      </c>
      <c r="F20" s="75">
        <v>0</v>
      </c>
      <c r="G20" s="75">
        <v>48</v>
      </c>
      <c r="H20" s="121">
        <f>AE20</f>
        <v>0</v>
      </c>
      <c r="J20" s="262">
        <v>0</v>
      </c>
      <c r="K20" s="262">
        <v>0</v>
      </c>
      <c r="L20" s="263">
        <v>5</v>
      </c>
      <c r="M20" s="262">
        <v>0</v>
      </c>
      <c r="N20" s="262">
        <v>0</v>
      </c>
      <c r="O20" s="262">
        <v>0</v>
      </c>
      <c r="P20" s="262">
        <v>0</v>
      </c>
      <c r="Q20" s="262">
        <v>0</v>
      </c>
      <c r="R20" s="265">
        <v>0</v>
      </c>
      <c r="S20" s="265">
        <v>4</v>
      </c>
      <c r="T20" s="265">
        <v>44</v>
      </c>
      <c r="U20" s="265">
        <v>0</v>
      </c>
      <c r="V20" s="265">
        <v>0</v>
      </c>
      <c r="W20" s="265">
        <v>0</v>
      </c>
      <c r="X20" s="265">
        <v>0</v>
      </c>
      <c r="Y20" s="265">
        <v>0</v>
      </c>
      <c r="Z20" s="122">
        <v>0</v>
      </c>
      <c r="AA20" s="266">
        <f>IF(AND(Z20=0,Y20=0),0,IF(OR(AND(Z20&gt;0,Y20&lt;=0),AND(Z20&lt;0,Y20&gt;=0)),"nm",IF(AND(Z20&lt;0,Y20&lt;0),IF(-(Z20/Y20-1)*100&lt;-100,"(&gt;100)",-(Z20/Y20-1)*100),IF((Z20/Y20-1)*100&gt;100,"&gt;100",(Z20/Y20-1)*100))))</f>
        <v>0</v>
      </c>
      <c r="AB20" s="265">
        <f>IF(AND(Z20=0,V20=0),0,IF(OR(AND(Z20&gt;0,V20&lt;=0),AND(Z20&lt;0,V20&gt;=0)),"nm",IF(AND(Z20&lt;0,V20&lt;0),IF(-(Z20/V20-1)*100&lt;-100,"(&gt;100)",-(Z20/V20-1)*100),IF((Z20/V20-1)*100&gt;100,"&gt;100",(Z20/V20-1)*100))))</f>
        <v>0</v>
      </c>
      <c r="AC20" s="266"/>
      <c r="AD20" s="266">
        <v>48</v>
      </c>
      <c r="AE20" s="450">
        <v>0</v>
      </c>
      <c r="AF20" s="268">
        <f>IF(AND(AE20=0,AD20=0),0,IF(OR(AND(AE20&gt;0,AD20&lt;=0),AND(AE20&lt;0,AD20&gt;=0)),"nm",IF(AND(AE20&lt;0,AD20&lt;0),IF(-(AE20/AD20-1)*100&lt;-100,"(&gt;100)",-(AE20/AD20-1)*100),IF((AE20/AD20-1)*100&gt;100,"&gt;100",(AE20/AD20-1)*100))))</f>
        <v>-100</v>
      </c>
    </row>
    <row r="21" spans="3:32" ht="14.25">
      <c r="C21" s="22" t="s">
        <v>65</v>
      </c>
      <c r="D21" s="75">
        <v>152</v>
      </c>
      <c r="E21" s="75">
        <v>236</v>
      </c>
      <c r="F21" s="75">
        <v>221</v>
      </c>
      <c r="G21" s="75">
        <v>121</v>
      </c>
      <c r="H21" s="121">
        <f>AE21</f>
        <v>150</v>
      </c>
      <c r="J21" s="75">
        <v>37</v>
      </c>
      <c r="K21" s="75">
        <v>50</v>
      </c>
      <c r="L21" s="75">
        <v>72</v>
      </c>
      <c r="M21" s="75">
        <v>77</v>
      </c>
      <c r="N21" s="75">
        <v>53</v>
      </c>
      <c r="O21" s="75">
        <v>54</v>
      </c>
      <c r="P21" s="75">
        <v>61</v>
      </c>
      <c r="Q21" s="75">
        <v>53</v>
      </c>
      <c r="R21" s="265">
        <v>43</v>
      </c>
      <c r="S21" s="265">
        <v>38</v>
      </c>
      <c r="T21" s="265">
        <v>20</v>
      </c>
      <c r="U21" s="265">
        <v>20</v>
      </c>
      <c r="V21" s="265">
        <v>45</v>
      </c>
      <c r="W21" s="265">
        <v>16</v>
      </c>
      <c r="X21" s="265">
        <v>28</v>
      </c>
      <c r="Y21" s="265">
        <v>29</v>
      </c>
      <c r="Z21" s="122">
        <v>62</v>
      </c>
      <c r="AA21" s="265" t="str">
        <f>IF(AND(Z21=0,Y21=0),0,IF(OR(AND(Z21&gt;0,Y21&lt;=0),AND(Z21&lt;0,Y21&gt;=0)),"nm",IF(AND(Z21&lt;0,Y21&lt;0),IF(-(Z21/Y21-1)*100&lt;-100,"(&gt;100)",-(Z21/Y21-1)*100),IF((Z21/Y21-1)*100&gt;100,"&gt;100",(Z21/Y21-1)*100))))</f>
        <v>&gt;100</v>
      </c>
      <c r="AB21" s="265">
        <f>IF(AND(Z21=0,V21=0),0,IF(OR(AND(Z21&gt;0,V21&lt;=0),AND(Z21&lt;0,V21&gt;=0)),"nm",IF(AND(Z21&lt;0,V21&lt;0),IF(-(Z21/V21-1)*100&lt;-100,"(&gt;100)",-(Z21/V21-1)*100),IF((Z21/V21-1)*100&gt;100,"&gt;100",(Z21/V21-1)*100))))</f>
        <v>37.77777777777778</v>
      </c>
      <c r="AC21" s="265"/>
      <c r="AD21" s="265">
        <v>121</v>
      </c>
      <c r="AE21" s="122">
        <v>150</v>
      </c>
      <c r="AF21" s="75">
        <f>IF(AND(AE21=0,AD21=0),0,IF(OR(AND(AE21&gt;0,AD21&lt;=0),AND(AE21&lt;0,AD21&gt;=0)),"nm",IF(AND(AE21&lt;0,AD21&lt;0),IF(-(AE21/AD21-1)*100&lt;-100,"(&gt;100)",-(AE21/AD21-1)*100),IF((AE21/AD21-1)*100&gt;100,"&gt;100",(AE21/AD21-1)*100))))</f>
        <v>23.96694214876034</v>
      </c>
    </row>
    <row r="22" spans="3:32" ht="14.25">
      <c r="C22" s="22" t="s">
        <v>66</v>
      </c>
      <c r="D22" s="75">
        <v>35</v>
      </c>
      <c r="E22" s="75">
        <v>36</v>
      </c>
      <c r="F22" s="75">
        <v>30</v>
      </c>
      <c r="G22" s="75">
        <v>66</v>
      </c>
      <c r="H22" s="121">
        <f>AE22</f>
        <v>42</v>
      </c>
      <c r="J22" s="75">
        <v>9</v>
      </c>
      <c r="K22" s="75">
        <v>7</v>
      </c>
      <c r="L22" s="75">
        <v>14</v>
      </c>
      <c r="M22" s="75">
        <v>6</v>
      </c>
      <c r="N22" s="75">
        <v>7</v>
      </c>
      <c r="O22" s="75">
        <v>11</v>
      </c>
      <c r="P22" s="75">
        <v>6</v>
      </c>
      <c r="Q22" s="75">
        <v>6</v>
      </c>
      <c r="R22" s="265">
        <v>13</v>
      </c>
      <c r="S22" s="265">
        <v>31</v>
      </c>
      <c r="T22" s="265">
        <v>12</v>
      </c>
      <c r="U22" s="265">
        <v>10</v>
      </c>
      <c r="V22" s="265">
        <v>7</v>
      </c>
      <c r="W22" s="265">
        <v>11</v>
      </c>
      <c r="X22" s="265">
        <v>16</v>
      </c>
      <c r="Y22" s="265">
        <v>8</v>
      </c>
      <c r="Z22" s="122">
        <v>14</v>
      </c>
      <c r="AA22" s="265">
        <f>IF(AND(Z22=0,Y22=0),0,IF(OR(AND(Z22&gt;0,Y22&lt;=0),AND(Z22&lt;0,Y22&gt;=0)),"nm",IF(AND(Z22&lt;0,Y22&lt;0),IF(-(Z22/Y22-1)*100&lt;-100,"(&gt;100)",-(Z22/Y22-1)*100),IF((Z22/Y22-1)*100&gt;100,"&gt;100",(Z22/Y22-1)*100))))</f>
        <v>75</v>
      </c>
      <c r="AB22" s="265">
        <f>IF(AND(Z22=0,V22=0),0,IF(OR(AND(Z22&gt;0,V22&lt;=0),AND(Z22&lt;0,V22&gt;=0)),"nm",IF(AND(Z22&lt;0,V22&lt;0),IF(-(Z22/V22-1)*100&lt;-100,"(&gt;100)",-(Z22/V22-1)*100),IF((Z22/V22-1)*100&gt;100,"&gt;100",(Z22/V22-1)*100))))</f>
        <v>100</v>
      </c>
      <c r="AC22" s="265"/>
      <c r="AD22" s="265">
        <v>66</v>
      </c>
      <c r="AE22" s="122">
        <v>42</v>
      </c>
      <c r="AF22" s="75">
        <f>IF(AND(AE22=0,AD22=0),0,IF(OR(AND(AE22&gt;0,AD22&lt;=0),AND(AE22&lt;0,AD22&gt;=0)),"nm",IF(AND(AE22&lt;0,AD22&lt;0),IF(-(AE22/AD22-1)*100&lt;-100,"(&gt;100)",-(AE22/AD22-1)*100),IF((AE22/AD22-1)*100&gt;100,"&gt;100",(AE22/AD22-1)*100))))</f>
        <v>-36.36363636363637</v>
      </c>
    </row>
    <row r="23" spans="2:32" s="18" customFormat="1" ht="15">
      <c r="B23" s="18" t="s">
        <v>186</v>
      </c>
      <c r="D23" s="17">
        <f>D17+D18-D20-D21-D22</f>
        <v>419</v>
      </c>
      <c r="E23" s="17">
        <f>E17+E18-E20-E21-E22</f>
        <v>1113</v>
      </c>
      <c r="F23" s="17">
        <v>614</v>
      </c>
      <c r="G23" s="17">
        <v>194</v>
      </c>
      <c r="H23" s="17">
        <f>AE23</f>
        <v>198</v>
      </c>
      <c r="I23" s="17"/>
      <c r="J23" s="17">
        <v>225</v>
      </c>
      <c r="K23" s="17">
        <f>K17+K18-K20-K21-K22</f>
        <v>272</v>
      </c>
      <c r="L23" s="17">
        <v>229</v>
      </c>
      <c r="M23" s="17">
        <v>387</v>
      </c>
      <c r="N23" s="17">
        <v>324</v>
      </c>
      <c r="O23" s="17">
        <v>68</v>
      </c>
      <c r="P23" s="17">
        <v>125</v>
      </c>
      <c r="Q23" s="17">
        <v>97</v>
      </c>
      <c r="R23" s="267">
        <v>34</v>
      </c>
      <c r="S23" s="267">
        <v>27</v>
      </c>
      <c r="T23" s="267">
        <v>41</v>
      </c>
      <c r="U23" s="267">
        <v>92</v>
      </c>
      <c r="V23" s="267">
        <v>43</v>
      </c>
      <c r="W23" s="267">
        <v>40</v>
      </c>
      <c r="X23" s="267">
        <v>36</v>
      </c>
      <c r="Y23" s="267">
        <v>79</v>
      </c>
      <c r="Z23" s="125">
        <f>Z17+Z18-Z20-Z21-Z22</f>
        <v>114</v>
      </c>
      <c r="AA23" s="267">
        <f>IF(AND(Z23=0,Y23=0),0,IF(OR(AND(Z23&gt;0,Y23&lt;=0),AND(Z23&lt;0,Y23&gt;=0)),"nm",IF(AND(Z23&lt;0,Y23&lt;0),IF(-(Z23/Y23-1)*100&lt;-100,"(&gt;100)",-(Z23/Y23-1)*100),IF((Z23/Y23-1)*100&gt;100,"&gt;100",(Z23/Y23-1)*100))))</f>
        <v>44.303797468354425</v>
      </c>
      <c r="AB23" s="267" t="str">
        <f>IF(AND(Z23=0,V23=0),0,IF(OR(AND(Z23&gt;0,V23&lt;=0),AND(Z23&lt;0,V23&gt;=0)),"nm",IF(AND(Z23&lt;0,V23&lt;0),IF(-(Z23/V23-1)*100&lt;-100,"(&gt;100)",-(Z23/V23-1)*100),IF((Z23/V23-1)*100&gt;100,"&gt;100",(Z23/V23-1)*100))))</f>
        <v>&gt;100</v>
      </c>
      <c r="AC23" s="267"/>
      <c r="AD23" s="320">
        <v>194</v>
      </c>
      <c r="AE23" s="125">
        <f>AE17+AE18-AE20-AE21-AE22</f>
        <v>198</v>
      </c>
      <c r="AF23" s="17">
        <f>IF(AND(AE23=0,AD23=0),0,IF(OR(AND(AE23&gt;0,AD23&lt;=0),AND(AE23&lt;0,AD23&gt;=0)),"nm",IF(AND(AE23&lt;0,AD23&lt;0),IF(-(AE23/AD23-1)*100&lt;-100,"(&gt;100)",-(AE23/AD23-1)*100),IF((AE23/AD23-1)*100&gt;100,"&gt;100",(AE23/AD23-1)*100))))</f>
        <v>2.0618556701030855</v>
      </c>
    </row>
    <row r="24" spans="8:31" ht="14.25">
      <c r="H24" s="121"/>
      <c r="Z24" s="364"/>
      <c r="AD24" s="171"/>
      <c r="AE24" s="447"/>
    </row>
    <row r="25" spans="8:31" ht="14.25">
      <c r="H25" s="121"/>
      <c r="Z25" s="364"/>
      <c r="AD25" s="390"/>
      <c r="AE25" s="143"/>
    </row>
    <row r="26" spans="26:31" ht="14.25">
      <c r="Z26" s="364"/>
      <c r="AE26" s="364"/>
    </row>
    <row r="27" spans="26:31" ht="14.25">
      <c r="Z27" s="364"/>
      <c r="AE27" s="364"/>
    </row>
    <row r="28" spans="26:31" ht="14.25">
      <c r="Z28" s="364"/>
      <c r="AE28" s="364"/>
    </row>
    <row r="29" ht="14.25">
      <c r="AE29" s="364"/>
    </row>
    <row r="30" ht="14.25">
      <c r="AE30" s="364"/>
    </row>
    <row r="31" ht="14.25">
      <c r="AE31" s="364"/>
    </row>
    <row r="32" ht="14.25">
      <c r="AE32" s="364"/>
    </row>
    <row r="33" ht="14.25">
      <c r="AE33" s="364"/>
    </row>
    <row r="34" ht="14.25">
      <c r="AE34" s="364"/>
    </row>
    <row r="35" ht="14.25">
      <c r="AE35" s="364"/>
    </row>
    <row r="36" ht="14.25">
      <c r="AE36" s="364"/>
    </row>
    <row r="37" ht="14.25">
      <c r="AE37" s="364"/>
    </row>
    <row r="38" ht="14.25">
      <c r="AE38" s="364"/>
    </row>
    <row r="39" ht="14.25">
      <c r="AE39" s="364"/>
    </row>
    <row r="40" ht="14.25">
      <c r="AE40" s="364"/>
    </row>
    <row r="41" ht="14.25">
      <c r="AE41" s="364"/>
    </row>
    <row r="42" ht="14.25">
      <c r="AE42" s="364"/>
    </row>
  </sheetData>
  <sheetProtection/>
  <mergeCells count="1">
    <mergeCell ref="A2:C2"/>
  </mergeCells>
  <hyperlinks>
    <hyperlink ref="A2" location="Index!A1" display="Back to Index"/>
  </hyperlinks>
  <printOptions gridLines="1"/>
  <pageMargins left="0.75" right="0.5" top="1" bottom="1" header="0.5" footer="0.5"/>
  <pageSetup fitToHeight="1" fitToWidth="1" horizontalDpi="600" verticalDpi="600" orientation="landscape" paperSize="9" r:id="rId1"/>
  <headerFooter alignWithMargins="0">
    <oddFooter>&amp;L&amp;D\&amp;T&amp;R&amp;F\&amp;A</oddFooter>
  </headerFooter>
  <ignoredErrors>
    <ignoredError sqref="AE7" formulaRange="1"/>
  </ignoredErrors>
</worksheet>
</file>

<file path=xl/worksheets/sheet8.xml><?xml version="1.0" encoding="utf-8"?>
<worksheet xmlns="http://schemas.openxmlformats.org/spreadsheetml/2006/main" xmlns:r="http://schemas.openxmlformats.org/officeDocument/2006/relationships">
  <sheetPr>
    <tabColor indexed="47"/>
    <pageSetUpPr fitToPage="1"/>
  </sheetPr>
  <dimension ref="A1:AJ47"/>
  <sheetViews>
    <sheetView zoomScale="80" zoomScaleNormal="80" zoomScalePageLayoutView="0" workbookViewId="0" topLeftCell="A1">
      <pane xSplit="3" ySplit="2" topLeftCell="V3" activePane="bottomRight" state="frozen"/>
      <selection pane="topLeft" activeCell="A1" sqref="A1"/>
      <selection pane="topRight" activeCell="D1" sqref="D1"/>
      <selection pane="bottomLeft" activeCell="A3" sqref="A3"/>
      <selection pane="bottomRight" activeCell="AI4" sqref="AI4"/>
    </sheetView>
  </sheetViews>
  <sheetFormatPr defaultColWidth="9.140625" defaultRowHeight="12.75" outlineLevelCol="1"/>
  <cols>
    <col min="1" max="1" width="2.7109375" style="22" customWidth="1"/>
    <col min="2" max="2" width="2.28125" style="22" customWidth="1"/>
    <col min="3" max="3" width="39.7109375" style="10" customWidth="1"/>
    <col min="4" max="4" width="11.8515625" style="76" hidden="1" customWidth="1" outlineLevel="1"/>
    <col min="5" max="8" width="11.8515625" style="75" hidden="1" customWidth="1" outlineLevel="1"/>
    <col min="9" max="9" width="2.57421875" style="75" hidden="1" customWidth="1" outlineLevel="1"/>
    <col min="10" max="17" width="11.140625" style="75" hidden="1" customWidth="1" outlineLevel="1"/>
    <col min="18" max="19" width="11.140625" style="75" hidden="1" customWidth="1" outlineLevel="1" collapsed="1"/>
    <col min="20" max="21" width="11.140625" style="75" hidden="1" customWidth="1" outlineLevel="1"/>
    <col min="22" max="22" width="11.140625" style="75" customWidth="1" collapsed="1"/>
    <col min="23" max="25" width="11.140625" style="75" customWidth="1"/>
    <col min="26" max="26" width="10.140625" style="119" customWidth="1"/>
    <col min="27" max="27" width="8.421875" style="75" customWidth="1"/>
    <col min="28" max="28" width="8.00390625" style="75" customWidth="1"/>
    <col min="29" max="29" width="3.7109375" style="21" customWidth="1"/>
    <col min="30" max="30" width="9.8515625" style="75" hidden="1" customWidth="1"/>
    <col min="31" max="31" width="9.8515625" style="119" hidden="1" customWidth="1"/>
    <col min="32" max="32" width="9.28125" style="75" hidden="1" customWidth="1"/>
    <col min="33" max="16384" width="9.140625" style="22" customWidth="1"/>
  </cols>
  <sheetData>
    <row r="1" spans="1:32" s="42" customFormat="1" ht="20.25">
      <c r="A1" s="41" t="s">
        <v>17</v>
      </c>
      <c r="D1" s="123"/>
      <c r="E1" s="124"/>
      <c r="F1" s="124"/>
      <c r="G1" s="124"/>
      <c r="H1" s="124"/>
      <c r="I1" s="124"/>
      <c r="J1" s="124"/>
      <c r="K1" s="124"/>
      <c r="L1" s="124"/>
      <c r="M1" s="124"/>
      <c r="N1" s="124"/>
      <c r="O1" s="124"/>
      <c r="P1" s="124"/>
      <c r="Q1" s="124"/>
      <c r="R1" s="124"/>
      <c r="S1" s="124"/>
      <c r="T1" s="124"/>
      <c r="U1" s="124"/>
      <c r="V1" s="124"/>
      <c r="W1" s="124"/>
      <c r="X1" s="124"/>
      <c r="Y1" s="124"/>
      <c r="Z1" s="270"/>
      <c r="AA1" s="124"/>
      <c r="AB1" s="124"/>
      <c r="AC1" s="43"/>
      <c r="AD1" s="124"/>
      <c r="AE1" s="270"/>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290" t="s">
        <v>366</v>
      </c>
      <c r="AE2" s="290" t="s">
        <v>392</v>
      </c>
      <c r="AF2" s="290" t="s">
        <v>393</v>
      </c>
    </row>
    <row r="3" spans="1:32" s="24" customFormat="1" ht="6.75" customHeight="1">
      <c r="A3" s="9"/>
      <c r="D3" s="8"/>
      <c r="E3" s="17"/>
      <c r="F3" s="17"/>
      <c r="G3" s="17"/>
      <c r="H3" s="17"/>
      <c r="I3" s="17"/>
      <c r="J3" s="17"/>
      <c r="K3" s="17"/>
      <c r="L3" s="17"/>
      <c r="M3" s="17"/>
      <c r="N3" s="17"/>
      <c r="O3" s="17"/>
      <c r="P3" s="17"/>
      <c r="Q3" s="17"/>
      <c r="R3" s="17"/>
      <c r="S3" s="17"/>
      <c r="T3" s="17"/>
      <c r="U3" s="17"/>
      <c r="V3" s="17"/>
      <c r="W3" s="17"/>
      <c r="X3" s="17"/>
      <c r="Y3" s="17"/>
      <c r="Z3" s="125"/>
      <c r="AA3" s="17"/>
      <c r="AB3" s="17"/>
      <c r="AD3" s="17"/>
      <c r="AE3" s="125"/>
      <c r="AF3" s="17"/>
    </row>
    <row r="4" spans="1:32" s="24" customFormat="1" ht="15">
      <c r="A4" s="40" t="s">
        <v>220</v>
      </c>
      <c r="D4" s="8"/>
      <c r="E4" s="17"/>
      <c r="F4" s="17"/>
      <c r="G4" s="17"/>
      <c r="H4" s="17"/>
      <c r="I4" s="17"/>
      <c r="J4" s="17"/>
      <c r="K4" s="17"/>
      <c r="L4" s="17"/>
      <c r="M4" s="17"/>
      <c r="N4" s="17"/>
      <c r="O4" s="17"/>
      <c r="P4" s="17"/>
      <c r="Q4" s="17"/>
      <c r="R4" s="17"/>
      <c r="S4" s="17"/>
      <c r="T4" s="17"/>
      <c r="U4" s="17"/>
      <c r="V4" s="17"/>
      <c r="W4" s="17"/>
      <c r="X4" s="17"/>
      <c r="Y4" s="17"/>
      <c r="Z4" s="125"/>
      <c r="AA4" s="17"/>
      <c r="AB4" s="17"/>
      <c r="AD4" s="17"/>
      <c r="AE4" s="125"/>
      <c r="AF4" s="17"/>
    </row>
    <row r="5" spans="1:32" s="18" customFormat="1" ht="15">
      <c r="A5" s="31" t="s">
        <v>218</v>
      </c>
      <c r="D5" s="17">
        <v>128365</v>
      </c>
      <c r="E5" s="17">
        <v>133420</v>
      </c>
      <c r="F5" s="17">
        <v>154722</v>
      </c>
      <c r="G5" s="17">
        <v>197827</v>
      </c>
      <c r="H5" s="17">
        <v>213828</v>
      </c>
      <c r="I5" s="17"/>
      <c r="J5" s="17">
        <v>132784</v>
      </c>
      <c r="K5" s="17">
        <v>130406</v>
      </c>
      <c r="L5" s="17">
        <v>130863</v>
      </c>
      <c r="M5" s="17">
        <v>133420</v>
      </c>
      <c r="N5" s="17">
        <v>136995</v>
      </c>
      <c r="O5" s="17">
        <v>149148</v>
      </c>
      <c r="P5" s="17">
        <v>150534</v>
      </c>
      <c r="Q5" s="17">
        <v>154722</v>
      </c>
      <c r="R5" s="17">
        <v>160101</v>
      </c>
      <c r="S5" s="17">
        <v>171457</v>
      </c>
      <c r="T5" s="17">
        <v>188536</v>
      </c>
      <c r="U5" s="17">
        <v>197827</v>
      </c>
      <c r="V5" s="17">
        <v>200745</v>
      </c>
      <c r="W5" s="17">
        <v>208455</v>
      </c>
      <c r="X5" s="17">
        <v>205735</v>
      </c>
      <c r="Y5" s="17">
        <v>213828</v>
      </c>
      <c r="Z5" s="125">
        <v>227029</v>
      </c>
      <c r="AA5" s="17">
        <f>IF(AND(Z5=0,Y5=0),0,IF(OR(AND(Z5&gt;0,Y5&lt;=0),AND(Z5&lt;0,Y5&gt;=0)),"nm",IF(AND(Z5&lt;0,Y5&lt;0),IF(-(Z5/Y5-1)*100&lt;-100,"(&gt;100)",-(Z5/Y5-1)*100),IF((Z5/Y5-1)*100&gt;100,"&gt;100",(Z5/Y5-1)*100))))</f>
        <v>6.173653590736472</v>
      </c>
      <c r="AB5" s="17">
        <f>IF(AND(Z5=0,V5=0),0,IF(OR(AND(Z5&gt;0,V5&lt;=0),AND(Z5&lt;0,V5&gt;=0)),"nm",IF(AND(Z5&lt;0,V5&lt;0),IF(-(Z5/V5-1)*100&lt;-100,"(&gt;100)",-(Z5/V5-1)*100),IF((Z5/V5-1)*100&gt;100,"&gt;100",(Z5/V5-1)*100))))</f>
        <v>13.09322772671797</v>
      </c>
      <c r="AC5" s="15"/>
      <c r="AD5" s="17">
        <v>197827</v>
      </c>
      <c r="AE5" s="125">
        <v>213828</v>
      </c>
      <c r="AF5" s="17">
        <f>IF(AND(AE5=0,AD5=0),0,IF(OR(AND(AE5&gt;0,AD5&lt;=0),AND(AE5&lt;0,AD5&gt;=0)),"nm",IF(AND(AE5&lt;0,AD5&lt;0),IF(-(AE5/AD5-1)*100&lt;-100,"(&gt;100)",-(AE5/AD5-1)*100),IF((AE5/AD5-1)*100&gt;100,"&gt;100",(AE5/AD5-1)*100))))</f>
        <v>8.088380251431815</v>
      </c>
    </row>
    <row r="6" spans="1:32" s="18" customFormat="1" ht="15">
      <c r="A6" s="91" t="s">
        <v>94</v>
      </c>
      <c r="D6" s="17"/>
      <c r="E6" s="17"/>
      <c r="F6" s="17"/>
      <c r="G6" s="17"/>
      <c r="H6" s="17"/>
      <c r="I6" s="17"/>
      <c r="J6" s="17"/>
      <c r="K6" s="17"/>
      <c r="L6" s="17"/>
      <c r="M6" s="17"/>
      <c r="N6" s="17"/>
      <c r="O6" s="17"/>
      <c r="P6" s="17"/>
      <c r="Q6" s="17"/>
      <c r="R6" s="17"/>
      <c r="S6" s="17"/>
      <c r="T6" s="17"/>
      <c r="U6" s="17"/>
      <c r="V6" s="17"/>
      <c r="W6" s="17"/>
      <c r="X6" s="17"/>
      <c r="Y6" s="17"/>
      <c r="Z6" s="125"/>
      <c r="AA6" s="17"/>
      <c r="AB6" s="17"/>
      <c r="AC6" s="15"/>
      <c r="AD6" s="17"/>
      <c r="AE6" s="125"/>
      <c r="AF6" s="17"/>
    </row>
    <row r="7" spans="1:36" ht="15">
      <c r="A7" s="36"/>
      <c r="B7" s="36" t="s">
        <v>196</v>
      </c>
      <c r="C7" s="22"/>
      <c r="D7" s="75">
        <v>868</v>
      </c>
      <c r="E7" s="75">
        <v>1512</v>
      </c>
      <c r="F7" s="75">
        <v>1152</v>
      </c>
      <c r="G7" s="75">
        <v>1188</v>
      </c>
      <c r="H7" s="75">
        <v>1217</v>
      </c>
      <c r="J7" s="75">
        <v>1051</v>
      </c>
      <c r="K7" s="75">
        <v>1090</v>
      </c>
      <c r="L7" s="75">
        <v>1214</v>
      </c>
      <c r="M7" s="75">
        <v>1512</v>
      </c>
      <c r="N7" s="75">
        <v>1748</v>
      </c>
      <c r="O7" s="75">
        <v>1645</v>
      </c>
      <c r="P7" s="75">
        <v>1300</v>
      </c>
      <c r="Q7" s="75">
        <v>1152</v>
      </c>
      <c r="R7" s="75">
        <v>1107</v>
      </c>
      <c r="S7" s="75">
        <v>1123</v>
      </c>
      <c r="T7" s="75">
        <v>1099</v>
      </c>
      <c r="U7" s="75">
        <v>1188</v>
      </c>
      <c r="V7" s="75">
        <v>1176</v>
      </c>
      <c r="W7" s="75">
        <v>1228</v>
      </c>
      <c r="X7" s="75">
        <v>1189</v>
      </c>
      <c r="Y7" s="75">
        <v>1217</v>
      </c>
      <c r="Z7" s="119">
        <v>1170</v>
      </c>
      <c r="AA7" s="75">
        <f>IF(AND(Z7=0,Y7=0),0,IF(OR(AND(Z7&gt;0,Y7&lt;=0),AND(Z7&lt;0,Y7&gt;=0)),"nm",IF(AND(Z7&lt;0,Y7&lt;0),IF(-(Z7/Y7-1)*100&lt;-100,"(&gt;100)",-(Z7/Y7-1)*100),IF((Z7/Y7-1)*100&gt;100,"&gt;100",(Z7/Y7-1)*100))))</f>
        <v>-3.861955628594904</v>
      </c>
      <c r="AB7" s="75">
        <f>IF(AND(Z7=0,V7=0),0,IF(OR(AND(Z7&gt;0,V7&lt;=0),AND(Z7&lt;0,V7&gt;=0)),"nm",IF(AND(Z7&lt;0,V7&lt;0),IF(-(Z7/V7-1)*100&lt;-100,"(&gt;100)",-(Z7/V7-1)*100),IF((Z7/V7-1)*100&gt;100,"&gt;100",(Z7/V7-1)*100))))</f>
        <v>-0.5102040816326481</v>
      </c>
      <c r="AD7" s="75">
        <v>1188</v>
      </c>
      <c r="AE7" s="119">
        <v>1217</v>
      </c>
      <c r="AF7" s="75">
        <f>IF(AND(AE7=0,AD7=0),0,IF(OR(AND(AE7&gt;0,AD7&lt;=0),AND(AE7&lt;0,AD7&gt;=0)),"nm",IF(AND(AE7&lt;0,AD7&lt;0),IF(-(AE7/AD7-1)*100&lt;-100,"(&gt;100)",-(AE7/AD7-1)*100),IF((AE7/AD7-1)*100&gt;100,"&gt;100",(AE7/AD7-1)*100))))</f>
        <v>2.441077441077444</v>
      </c>
      <c r="AG7" s="18"/>
      <c r="AH7" s="18"/>
      <c r="AI7" s="18"/>
      <c r="AJ7" s="18"/>
    </row>
    <row r="8" spans="1:36" ht="15">
      <c r="A8" s="36"/>
      <c r="B8" s="36" t="s">
        <v>197</v>
      </c>
      <c r="C8" s="22"/>
      <c r="D8" s="75">
        <v>1016</v>
      </c>
      <c r="E8" s="75">
        <v>1325</v>
      </c>
      <c r="F8" s="75">
        <v>1476</v>
      </c>
      <c r="G8" s="75">
        <v>1919</v>
      </c>
      <c r="H8" s="75">
        <v>2092</v>
      </c>
      <c r="J8" s="75">
        <v>1176</v>
      </c>
      <c r="K8" s="75">
        <v>1346</v>
      </c>
      <c r="L8" s="75">
        <v>1341</v>
      </c>
      <c r="M8" s="75">
        <v>1325</v>
      </c>
      <c r="N8" s="75">
        <v>1339</v>
      </c>
      <c r="O8" s="75">
        <v>1433</v>
      </c>
      <c r="P8" s="75">
        <v>1449</v>
      </c>
      <c r="Q8" s="75">
        <v>1476</v>
      </c>
      <c r="R8" s="75">
        <v>1539</v>
      </c>
      <c r="S8" s="75">
        <v>1628</v>
      </c>
      <c r="T8" s="75">
        <v>1807</v>
      </c>
      <c r="U8" s="75">
        <v>1919</v>
      </c>
      <c r="V8" s="75">
        <v>1979</v>
      </c>
      <c r="W8" s="75">
        <v>2047</v>
      </c>
      <c r="X8" s="75">
        <v>2053</v>
      </c>
      <c r="Y8" s="75">
        <v>2092</v>
      </c>
      <c r="Z8" s="119">
        <v>2189</v>
      </c>
      <c r="AA8" s="75">
        <f>IF(AND(Z8=0,Y8=0),0,IF(OR(AND(Z8&gt;0,Y8&lt;=0),AND(Z8&lt;0,Y8&gt;=0)),"nm",IF(AND(Z8&lt;0,Y8&lt;0),IF(-(Z8/Y8-1)*100&lt;-100,"(&gt;100)",-(Z8/Y8-1)*100),IF((Z8/Y8-1)*100&gt;100,"&gt;100",(Z8/Y8-1)*100))))</f>
        <v>4.636711281070749</v>
      </c>
      <c r="AB8" s="75">
        <f>IF(AND(Z8=0,V8=0),0,IF(OR(AND(Z8&gt;0,V8&lt;=0),AND(Z8&lt;0,V8&gt;=0)),"nm",IF(AND(Z8&lt;0,V8&lt;0),IF(-(Z8/V8-1)*100&lt;-100,"(&gt;100)",-(Z8/V8-1)*100),IF((Z8/V8-1)*100&gt;100,"&gt;100",(Z8/V8-1)*100))))</f>
        <v>10.611419909044972</v>
      </c>
      <c r="AD8" s="75">
        <v>1919</v>
      </c>
      <c r="AE8" s="119">
        <v>2092</v>
      </c>
      <c r="AF8" s="75">
        <f>IF(AND(AE8=0,AD8=0),0,IF(OR(AND(AE8&gt;0,AD8&lt;=0),AND(AE8&lt;0,AD8&gt;=0)),"nm",IF(AND(AE8&lt;0,AD8&lt;0),IF(-(AE8/AD8-1)*100&lt;-100,"(&gt;100)",-(AE8/AD8-1)*100),IF((AE8/AD8-1)*100&gt;100,"&gt;100",(AE8/AD8-1)*100))))</f>
        <v>9.015112037519547</v>
      </c>
      <c r="AG8" s="18"/>
      <c r="AH8" s="18"/>
      <c r="AI8" s="18"/>
      <c r="AJ8" s="18"/>
    </row>
    <row r="9" spans="1:32" s="18" customFormat="1" ht="15">
      <c r="A9" s="31" t="s">
        <v>219</v>
      </c>
      <c r="B9" s="31"/>
      <c r="D9" s="17">
        <v>126481</v>
      </c>
      <c r="E9" s="17">
        <v>130583</v>
      </c>
      <c r="F9" s="17">
        <v>152094</v>
      </c>
      <c r="G9" s="17">
        <v>194720</v>
      </c>
      <c r="H9" s="162">
        <v>210519</v>
      </c>
      <c r="I9" s="17"/>
      <c r="J9" s="17">
        <v>130557</v>
      </c>
      <c r="K9" s="17">
        <v>127970</v>
      </c>
      <c r="L9" s="17">
        <v>128308</v>
      </c>
      <c r="M9" s="17">
        <v>130583</v>
      </c>
      <c r="N9" s="17">
        <v>133908</v>
      </c>
      <c r="O9" s="17">
        <v>146070</v>
      </c>
      <c r="P9" s="17">
        <v>147785</v>
      </c>
      <c r="Q9" s="17">
        <v>152094</v>
      </c>
      <c r="R9" s="162">
        <v>157455</v>
      </c>
      <c r="S9" s="162">
        <v>168706</v>
      </c>
      <c r="T9" s="162">
        <v>185630</v>
      </c>
      <c r="U9" s="162">
        <v>194720</v>
      </c>
      <c r="V9" s="162">
        <v>197590</v>
      </c>
      <c r="W9" s="162">
        <v>205180</v>
      </c>
      <c r="X9" s="162">
        <v>202493</v>
      </c>
      <c r="Y9" s="162">
        <v>210519</v>
      </c>
      <c r="Z9" s="439">
        <f>Z5-Z7-Z8</f>
        <v>223670</v>
      </c>
      <c r="AA9" s="162">
        <f>IF(AND(Z9=0,Y9=0),0,IF(OR(AND(Z9&gt;0,Y9&lt;=0),AND(Z9&lt;0,Y9&gt;=0)),"nm",IF(AND(Z9&lt;0,Y9&lt;0),IF(-(Z9/Y9-1)*100&lt;-100,"(&gt;100)",-(Z9/Y9-1)*100),IF((Z9/Y9-1)*100&gt;100,"&gt;100",(Z9/Y9-1)*100))))</f>
        <v>6.246942081237328</v>
      </c>
      <c r="AB9" s="162">
        <f>IF(AND(Z9=0,V9=0),0,IF(OR(AND(Z9&gt;0,V9&lt;=0),AND(Z9&lt;0,V9&gt;=0)),"nm",IF(AND(Z9&lt;0,V9&lt;0),IF(-(Z9/V9-1)*100&lt;-100,"(&gt;100)",-(Z9/V9-1)*100),IF((Z9/V9-1)*100&gt;100,"&gt;100",(Z9/V9-1)*100))))</f>
        <v>13.19904853484488</v>
      </c>
      <c r="AC9" s="326"/>
      <c r="AD9" s="162">
        <v>194720</v>
      </c>
      <c r="AE9" s="439">
        <v>210519</v>
      </c>
      <c r="AF9" s="17">
        <f>IF(AND(AE9=0,AD9=0),0,IF(OR(AND(AE9&gt;0,AD9&lt;=0),AND(AE9&lt;0,AD9&gt;=0)),"nm",IF(AND(AE9&lt;0,AD9&lt;0),IF(-(AE9/AD9-1)*100&lt;-100,"(&gt;100)",-(AE9/AD9-1)*100),IF((AE9/AD9-1)*100&gt;100,"&gt;100",(AE9/AD9-1)*100))))</f>
        <v>8.113701725554634</v>
      </c>
    </row>
    <row r="10" spans="2:36" ht="15">
      <c r="B10" s="31"/>
      <c r="C10" s="33"/>
      <c r="D10" s="75"/>
      <c r="H10" s="121"/>
      <c r="R10" s="121"/>
      <c r="S10" s="121"/>
      <c r="T10" s="121"/>
      <c r="U10" s="121"/>
      <c r="V10" s="121"/>
      <c r="W10" s="121"/>
      <c r="X10" s="121"/>
      <c r="Y10" s="121"/>
      <c r="Z10" s="122"/>
      <c r="AA10" s="121"/>
      <c r="AB10" s="121"/>
      <c r="AC10" s="19"/>
      <c r="AD10" s="121"/>
      <c r="AE10" s="122"/>
      <c r="AG10" s="18"/>
      <c r="AH10" s="18"/>
      <c r="AI10" s="18"/>
      <c r="AJ10" s="18"/>
    </row>
    <row r="11" spans="1:32" s="18" customFormat="1" ht="15">
      <c r="A11" s="18" t="s">
        <v>218</v>
      </c>
      <c r="D11" s="17">
        <v>128365</v>
      </c>
      <c r="E11" s="17">
        <v>133420</v>
      </c>
      <c r="F11" s="17">
        <v>154722</v>
      </c>
      <c r="G11" s="17">
        <v>197827</v>
      </c>
      <c r="H11" s="17">
        <v>213828</v>
      </c>
      <c r="I11" s="17"/>
      <c r="J11" s="17">
        <v>132784</v>
      </c>
      <c r="K11" s="17">
        <v>130406</v>
      </c>
      <c r="L11" s="17">
        <v>130863</v>
      </c>
      <c r="M11" s="17">
        <v>133420</v>
      </c>
      <c r="N11" s="17">
        <v>136995</v>
      </c>
      <c r="O11" s="17">
        <v>149148</v>
      </c>
      <c r="P11" s="17">
        <v>150534</v>
      </c>
      <c r="Q11" s="17">
        <v>154722</v>
      </c>
      <c r="R11" s="17">
        <v>160101</v>
      </c>
      <c r="S11" s="17">
        <v>171457</v>
      </c>
      <c r="T11" s="17">
        <v>188536</v>
      </c>
      <c r="U11" s="17">
        <v>197827</v>
      </c>
      <c r="V11" s="17">
        <v>200745</v>
      </c>
      <c r="W11" s="17">
        <v>208455</v>
      </c>
      <c r="X11" s="17">
        <v>205735</v>
      </c>
      <c r="Y11" s="17">
        <v>213828</v>
      </c>
      <c r="Z11" s="125">
        <v>227029</v>
      </c>
      <c r="AA11" s="17">
        <f>IF(AND(Z11=0,Y11=0),0,IF(OR(AND(Z11&gt;0,Y11&lt;=0),AND(Z11&lt;0,Y11&gt;=0)),"nm",IF(AND(Z11&lt;0,Y11&lt;0),IF(-(Z11/Y11-1)*100&lt;-100,"(&gt;100)",-(Z11/Y11-1)*100),IF((Z11/Y11-1)*100&gt;100,"&gt;100",(Z11/Y11-1)*100))))</f>
        <v>6.173653590736472</v>
      </c>
      <c r="AB11" s="17">
        <f>IF(AND(Z11=0,V11=0),0,IF(OR(AND(Z11&gt;0,V11&lt;=0),AND(Z11&lt;0,V11&gt;=0)),"nm",IF(AND(Z11&lt;0,V11&lt;0),IF(-(Z11/V11-1)*100&lt;-100,"(&gt;100)",-(Z11/V11-1)*100),IF((Z11/V11-1)*100&gt;100,"&gt;100",(Z11/V11-1)*100))))</f>
        <v>13.09322772671797</v>
      </c>
      <c r="AC11" s="15"/>
      <c r="AD11" s="17">
        <v>197827</v>
      </c>
      <c r="AE11" s="125">
        <v>213828</v>
      </c>
      <c r="AF11" s="17">
        <f>IF(AND(AE11=0,AD11=0),0,IF(OR(AND(AE11&gt;0,AD11&lt;=0),AND(AE11&lt;0,AD11&gt;=0)),"nm",IF(AND(AE11&lt;0,AD11&lt;0),IF(-(AE11/AD11-1)*100&lt;-100,"(&gt;100)",-(AE11/AD11-1)*100),IF((AE11/AD11-1)*100&gt;100,"&gt;100",(AE11/AD11-1)*100))))</f>
        <v>8.088380251431815</v>
      </c>
    </row>
    <row r="12" spans="1:36" ht="15">
      <c r="A12" s="91" t="s">
        <v>374</v>
      </c>
      <c r="C12" s="22"/>
      <c r="D12" s="75"/>
      <c r="K12" s="17"/>
      <c r="L12" s="17"/>
      <c r="M12" s="17"/>
      <c r="N12" s="17"/>
      <c r="O12" s="17"/>
      <c r="P12" s="17"/>
      <c r="Q12" s="17"/>
      <c r="R12" s="17"/>
      <c r="S12" s="17"/>
      <c r="T12" s="17"/>
      <c r="U12" s="17"/>
      <c r="V12" s="17"/>
      <c r="W12" s="17"/>
      <c r="X12" s="17"/>
      <c r="Y12" s="17"/>
      <c r="AD12" s="162"/>
      <c r="AG12" s="18"/>
      <c r="AH12" s="18"/>
      <c r="AI12" s="18"/>
      <c r="AJ12" s="18"/>
    </row>
    <row r="13" spans="2:36" ht="15">
      <c r="B13" s="22" t="s">
        <v>382</v>
      </c>
      <c r="C13" s="22"/>
      <c r="D13" s="75">
        <v>38517</v>
      </c>
      <c r="E13" s="75">
        <v>44162</v>
      </c>
      <c r="F13" s="75">
        <v>50256</v>
      </c>
      <c r="G13" s="75">
        <v>54575</v>
      </c>
      <c r="H13" s="75">
        <v>61720</v>
      </c>
      <c r="J13" s="75">
        <v>40047</v>
      </c>
      <c r="K13" s="75">
        <v>40175</v>
      </c>
      <c r="L13" s="75">
        <v>41690</v>
      </c>
      <c r="M13" s="75">
        <v>44162</v>
      </c>
      <c r="N13" s="75">
        <v>46117</v>
      </c>
      <c r="O13" s="75">
        <v>48386</v>
      </c>
      <c r="P13" s="75">
        <v>49108</v>
      </c>
      <c r="Q13" s="75">
        <v>50256</v>
      </c>
      <c r="R13" s="121">
        <v>51083</v>
      </c>
      <c r="S13" s="121">
        <v>52982</v>
      </c>
      <c r="T13" s="121">
        <v>53487</v>
      </c>
      <c r="U13" s="121">
        <v>54575</v>
      </c>
      <c r="V13" s="121">
        <v>56192</v>
      </c>
      <c r="W13" s="121">
        <v>58692</v>
      </c>
      <c r="X13" s="121">
        <v>60122</v>
      </c>
      <c r="Y13" s="121">
        <v>61720</v>
      </c>
      <c r="Z13" s="119">
        <v>63496</v>
      </c>
      <c r="AA13" s="121">
        <f>IF(AND(Z13=0,Y13=0),0,IF(OR(AND(Z13&gt;0,Y13&lt;=0),AND(Z13&lt;0,Y13&gt;=0)),"nm",IF(AND(Z13&lt;0,Y13&lt;0),IF(-(Z13/Y13-1)*100&lt;-100,"(&gt;100)",-(Z13/Y13-1)*100),IF((Z13/Y13-1)*100&gt;100,"&gt;100",(Z13/Y13-1)*100))))</f>
        <v>2.8775113415424602</v>
      </c>
      <c r="AB13" s="121">
        <f>IF(AND(Z13=0,V13=0),0,IF(OR(AND(Z13&gt;0,V13&lt;=0),AND(Z13&lt;0,V13&gt;=0)),"nm",IF(AND(Z13&lt;0,V13&lt;0),IF(-(Z13/V13-1)*100&lt;-100,"(&gt;100)",-(Z13/V13-1)*100),IF((Z13/V13-1)*100&gt;100,"&gt;100",(Z13/V13-1)*100))))</f>
        <v>12.998291571753985</v>
      </c>
      <c r="AC13" s="19"/>
      <c r="AD13" s="121">
        <v>54575</v>
      </c>
      <c r="AE13" s="119">
        <v>61720</v>
      </c>
      <c r="AF13" s="75">
        <f>IF(AND(AE13=0,AD13=0),0,IF(OR(AND(AE13&gt;0,AD13&lt;=0),AND(AE13&lt;0,AD13&gt;=0)),"nm",IF(AND(AE13&lt;0,AD13&lt;0),IF(-(AE13/AD13-1)*100&lt;-100,"(&gt;100)",-(AE13/AD13-1)*100),IF((AE13/AD13-1)*100&gt;100,"&gt;100",(AE13/AD13-1)*100))))</f>
        <v>13.092075125973434</v>
      </c>
      <c r="AG13" s="18"/>
      <c r="AH13" s="18"/>
      <c r="AI13" s="18"/>
      <c r="AJ13" s="18"/>
    </row>
    <row r="14" spans="2:36" ht="15">
      <c r="B14" s="22" t="s">
        <v>332</v>
      </c>
      <c r="C14" s="36"/>
      <c r="D14" s="75">
        <v>88255</v>
      </c>
      <c r="E14" s="75">
        <v>88503</v>
      </c>
      <c r="F14" s="75">
        <v>103219</v>
      </c>
      <c r="G14" s="75">
        <v>141084</v>
      </c>
      <c r="H14" s="75">
        <v>149331</v>
      </c>
      <c r="J14" s="75">
        <v>91974</v>
      </c>
      <c r="K14" s="75">
        <v>89542</v>
      </c>
      <c r="L14" s="75">
        <v>88563</v>
      </c>
      <c r="M14" s="75">
        <v>88503</v>
      </c>
      <c r="N14" s="75">
        <v>90586</v>
      </c>
      <c r="O14" s="75">
        <v>100427</v>
      </c>
      <c r="P14" s="75">
        <v>100214</v>
      </c>
      <c r="Q14" s="75">
        <v>103219</v>
      </c>
      <c r="R14" s="121">
        <v>107637</v>
      </c>
      <c r="S14" s="121">
        <v>116714</v>
      </c>
      <c r="T14" s="121">
        <v>132932</v>
      </c>
      <c r="U14" s="121">
        <v>141084</v>
      </c>
      <c r="V14" s="121">
        <v>142986</v>
      </c>
      <c r="W14" s="121">
        <v>148306</v>
      </c>
      <c r="X14" s="121">
        <v>143699</v>
      </c>
      <c r="Y14" s="121">
        <v>149331</v>
      </c>
      <c r="Z14" s="122">
        <v>161438</v>
      </c>
      <c r="AA14" s="121">
        <f>IF(AND(Z14=0,Y14=0),0,IF(OR(AND(Z14&gt;0,Y14&lt;=0),AND(Z14&lt;0,Y14&gt;=0)),"nm",IF(AND(Z14&lt;0,Y14&lt;0),IF(-(Z14/Y14-1)*100&lt;-100,"(&gt;100)",-(Z14/Y14-1)*100),IF((Z14/Y14-1)*100&gt;100,"&gt;100",(Z14/Y14-1)*100))))</f>
        <v>8.107492751002798</v>
      </c>
      <c r="AB14" s="121">
        <f>IF(AND(Z14=0,V14=0),0,IF(OR(AND(Z14&gt;0,V14&lt;=0),AND(Z14&lt;0,V14&gt;=0)),"nm",IF(AND(Z14&lt;0,V14&lt;0),IF(-(Z14/V14-1)*100&lt;-100,"(&gt;100)",-(Z14/V14-1)*100),IF((Z14/V14-1)*100&gt;100,"&gt;100",(Z14/V14-1)*100))))</f>
        <v>12.904759906564278</v>
      </c>
      <c r="AC14" s="19"/>
      <c r="AD14" s="121">
        <v>141084</v>
      </c>
      <c r="AE14" s="119">
        <v>149331</v>
      </c>
      <c r="AF14" s="75">
        <f>IF(AND(AE14=0,AD14=0),0,IF(OR(AND(AE14&gt;0,AD14&lt;=0),AND(AE14&lt;0,AD14&gt;=0)),"nm",IF(AND(AE14&lt;0,AD14&lt;0),IF(-(AE14/AD14-1)*100&lt;-100,"(&gt;100)",-(AE14/AD14-1)*100),IF((AE14/AD14-1)*100&gt;100,"&gt;100",(AE14/AD14-1)*100))))</f>
        <v>5.84545377222081</v>
      </c>
      <c r="AG14" s="18"/>
      <c r="AH14" s="18"/>
      <c r="AI14" s="18"/>
      <c r="AJ14" s="18"/>
    </row>
    <row r="15" spans="2:36" ht="15">
      <c r="B15" s="22" t="s">
        <v>35</v>
      </c>
      <c r="C15" s="36"/>
      <c r="D15" s="75">
        <v>1593</v>
      </c>
      <c r="E15" s="75">
        <v>755</v>
      </c>
      <c r="F15" s="75">
        <v>1247</v>
      </c>
      <c r="G15" s="75">
        <v>2168</v>
      </c>
      <c r="H15" s="75">
        <v>2777</v>
      </c>
      <c r="J15" s="75">
        <v>763</v>
      </c>
      <c r="K15" s="75">
        <v>689</v>
      </c>
      <c r="L15" s="75">
        <v>610</v>
      </c>
      <c r="M15" s="75">
        <v>755</v>
      </c>
      <c r="N15" s="75">
        <v>292</v>
      </c>
      <c r="O15" s="75">
        <v>335</v>
      </c>
      <c r="P15" s="75">
        <v>1212</v>
      </c>
      <c r="Q15" s="75">
        <v>1247</v>
      </c>
      <c r="R15" s="121">
        <v>1381</v>
      </c>
      <c r="S15" s="121">
        <v>1761</v>
      </c>
      <c r="T15" s="121">
        <v>2117</v>
      </c>
      <c r="U15" s="121">
        <v>2168</v>
      </c>
      <c r="V15" s="121">
        <v>1567</v>
      </c>
      <c r="W15" s="121">
        <v>1457</v>
      </c>
      <c r="X15" s="121">
        <v>1914</v>
      </c>
      <c r="Y15" s="121">
        <v>2777</v>
      </c>
      <c r="Z15" s="122">
        <v>2095</v>
      </c>
      <c r="AA15" s="121">
        <f>IF(AND(Z15=0,Y15=0),0,IF(OR(AND(Z15&gt;0,Y15&lt;=0),AND(Z15&lt;0,Y15&gt;=0)),"nm",IF(AND(Z15&lt;0,Y15&lt;0),IF(-(Z15/Y15-1)*100&lt;-100,"(&gt;100)",-(Z15/Y15-1)*100),IF((Z15/Y15-1)*100&gt;100,"&gt;100",(Z15/Y15-1)*100))))</f>
        <v>-24.558876485415915</v>
      </c>
      <c r="AB15" s="121">
        <f>IF(AND(Z15=0,V15=0),0,IF(OR(AND(Z15&gt;0,V15&lt;=0),AND(Z15&lt;0,V15&gt;=0)),"nm",IF(AND(Z15&lt;0,V15&lt;0),IF(-(Z15/V15-1)*100&lt;-100,"(&gt;100)",-(Z15/V15-1)*100),IF((Z15/V15-1)*100&gt;100,"&gt;100",(Z15/V15-1)*100))))</f>
        <v>33.69495851946394</v>
      </c>
      <c r="AC15" s="19"/>
      <c r="AD15" s="121">
        <v>2168</v>
      </c>
      <c r="AE15" s="119">
        <v>2777</v>
      </c>
      <c r="AF15" s="75">
        <f>IF(AND(AE15=0,AD15=0),0,IF(OR(AND(AE15&gt;0,AD15&lt;=0),AND(AE15&lt;0,AD15&gt;=0)),"nm",IF(AND(AE15&lt;0,AD15&lt;0),IF(-(AE15/AD15-1)*100&lt;-100,"(&gt;100)",-(AE15/AD15-1)*100),IF((AE15/AD15-1)*100&gt;100,"&gt;100",(AE15/AD15-1)*100))))</f>
        <v>28.090405904059047</v>
      </c>
      <c r="AG15" s="18"/>
      <c r="AH15" s="18"/>
      <c r="AI15" s="18"/>
      <c r="AJ15" s="18"/>
    </row>
    <row r="16" spans="1:36" s="24" customFormat="1" ht="17.25" customHeight="1">
      <c r="A16" s="58" t="s">
        <v>375</v>
      </c>
      <c r="D16" s="17"/>
      <c r="E16" s="17"/>
      <c r="F16" s="17"/>
      <c r="G16" s="17"/>
      <c r="H16" s="17"/>
      <c r="I16" s="17"/>
      <c r="J16" s="17"/>
      <c r="K16" s="17"/>
      <c r="L16" s="17"/>
      <c r="M16" s="17"/>
      <c r="N16" s="17"/>
      <c r="O16" s="17"/>
      <c r="P16" s="17"/>
      <c r="Q16" s="17"/>
      <c r="R16" s="17"/>
      <c r="S16" s="17"/>
      <c r="T16" s="17"/>
      <c r="U16" s="17"/>
      <c r="V16" s="17"/>
      <c r="W16" s="17"/>
      <c r="X16" s="17"/>
      <c r="Y16" s="17"/>
      <c r="Z16" s="125"/>
      <c r="AA16" s="17"/>
      <c r="AB16" s="17"/>
      <c r="AD16" s="17"/>
      <c r="AE16" s="144"/>
      <c r="AF16" s="17"/>
      <c r="AG16" s="18"/>
      <c r="AH16" s="18"/>
      <c r="AI16" s="18"/>
      <c r="AJ16" s="18"/>
    </row>
    <row r="17" spans="2:36" ht="15">
      <c r="B17" s="22" t="s">
        <v>48</v>
      </c>
      <c r="C17" s="22"/>
      <c r="D17" s="75">
        <v>59789</v>
      </c>
      <c r="E17" s="75">
        <v>61713</v>
      </c>
      <c r="F17" s="75">
        <v>74595</v>
      </c>
      <c r="G17" s="75">
        <v>89427</v>
      </c>
      <c r="H17" s="121">
        <v>101485</v>
      </c>
      <c r="I17" s="121"/>
      <c r="J17" s="121">
        <v>62520</v>
      </c>
      <c r="K17" s="121">
        <v>61064</v>
      </c>
      <c r="L17" s="121">
        <v>61291</v>
      </c>
      <c r="M17" s="121">
        <v>61713</v>
      </c>
      <c r="N17" s="121">
        <v>64184</v>
      </c>
      <c r="O17" s="121">
        <v>70698</v>
      </c>
      <c r="P17" s="121">
        <v>72997</v>
      </c>
      <c r="Q17" s="121">
        <v>74595</v>
      </c>
      <c r="R17" s="121">
        <v>77824</v>
      </c>
      <c r="S17" s="121">
        <v>83466</v>
      </c>
      <c r="T17" s="121">
        <v>87538</v>
      </c>
      <c r="U17" s="121">
        <v>89427</v>
      </c>
      <c r="V17" s="121">
        <v>92702</v>
      </c>
      <c r="W17" s="121">
        <v>96075</v>
      </c>
      <c r="X17" s="121">
        <v>98624</v>
      </c>
      <c r="Y17" s="121">
        <v>101485</v>
      </c>
      <c r="Z17" s="119">
        <v>110427</v>
      </c>
      <c r="AA17" s="121">
        <f>IF(AND(Z17=0,Y17=0),0,IF(OR(AND(Z17&gt;0,Y17&lt;=0),AND(Z17&lt;0,Y17&gt;=0)),"nm",IF(AND(Z17&lt;0,Y17&lt;0),IF(-(Z17/Y17-1)*100&lt;-100,"(&gt;100)",-(Z17/Y17-1)*100),IF((Z17/Y17-1)*100&gt;100,"&gt;100",(Z17/Y17-1)*100))))</f>
        <v>8.811154357786855</v>
      </c>
      <c r="AB17" s="121">
        <f>IF(AND(Z17=0,V17=0),0,IF(OR(AND(Z17&gt;0,V17&lt;=0),AND(Z17&lt;0,V17&gt;=0)),"nm",IF(AND(Z17&lt;0,V17&lt;0),IF(-(Z17/V17-1)*100&lt;-100,"(&gt;100)",-(Z17/V17-1)*100),IF((Z17/V17-1)*100&gt;100,"&gt;100",(Z17/V17-1)*100))))</f>
        <v>19.12040732670277</v>
      </c>
      <c r="AC17" s="19"/>
      <c r="AD17" s="121">
        <v>89427</v>
      </c>
      <c r="AE17" s="122">
        <v>101485</v>
      </c>
      <c r="AF17" s="121">
        <f>IF(AND(AE17=0,AD17=0),0,IF(OR(AND(AE17&gt;0,AD17&lt;=0),AND(AE17&lt;0,AD17&gt;=0)),"nm",IF(AND(AE17&lt;0,AD17&lt;0),IF(-(AE17/AD17-1)*100&lt;-100,"(&gt;100)",-(AE17/AD17-1)*100),IF((AE17/AD17-1)*100&gt;100,"&gt;100",(AE17/AD17-1)*100))))</f>
        <v>13.4836235141512</v>
      </c>
      <c r="AG17" s="18"/>
      <c r="AH17" s="18"/>
      <c r="AI17" s="18"/>
      <c r="AJ17" s="18"/>
    </row>
    <row r="18" spans="2:36" ht="15">
      <c r="B18" s="22" t="s">
        <v>49</v>
      </c>
      <c r="C18" s="22"/>
      <c r="D18" s="75">
        <v>31888</v>
      </c>
      <c r="E18" s="75">
        <v>32999</v>
      </c>
      <c r="F18" s="75">
        <v>36688</v>
      </c>
      <c r="G18" s="75">
        <v>40369</v>
      </c>
      <c r="H18" s="121">
        <v>38119</v>
      </c>
      <c r="I18" s="121"/>
      <c r="J18" s="121">
        <v>32525</v>
      </c>
      <c r="K18" s="121">
        <v>31959</v>
      </c>
      <c r="L18" s="121">
        <v>31851</v>
      </c>
      <c r="M18" s="121">
        <v>32999</v>
      </c>
      <c r="N18" s="121">
        <v>33492</v>
      </c>
      <c r="O18" s="121">
        <v>36982</v>
      </c>
      <c r="P18" s="121">
        <v>36541</v>
      </c>
      <c r="Q18" s="121">
        <v>36688</v>
      </c>
      <c r="R18" s="121">
        <v>36556</v>
      </c>
      <c r="S18" s="121">
        <v>36933</v>
      </c>
      <c r="T18" s="121">
        <v>40689</v>
      </c>
      <c r="U18" s="121">
        <v>40369</v>
      </c>
      <c r="V18" s="121">
        <v>38531</v>
      </c>
      <c r="W18" s="121">
        <v>39565</v>
      </c>
      <c r="X18" s="121">
        <v>37538</v>
      </c>
      <c r="Y18" s="121">
        <v>38119</v>
      </c>
      <c r="Z18" s="119">
        <v>36733</v>
      </c>
      <c r="AA18" s="121">
        <f>IF(AND(Z18=0,Y18=0),0,IF(OR(AND(Z18&gt;0,Y18&lt;=0),AND(Z18&lt;0,Y18&gt;=0)),"nm",IF(AND(Z18&lt;0,Y18&lt;0),IF(-(Z18/Y18-1)*100&lt;-100,"(&gt;100)",-(Z18/Y18-1)*100),IF((Z18/Y18-1)*100&gt;100,"&gt;100",(Z18/Y18-1)*100))))</f>
        <v>-3.635982056192455</v>
      </c>
      <c r="AB18" s="121">
        <f>IF(AND(Z18=0,V18=0),0,IF(OR(AND(Z18&gt;0,V18&lt;=0),AND(Z18&lt;0,V18&gt;=0)),"nm",IF(AND(Z18&lt;0,V18&lt;0),IF(-(Z18/V18-1)*100&lt;-100,"(&gt;100)",-(Z18/V18-1)*100),IF((Z18/V18-1)*100&gt;100,"&gt;100",(Z18/V18-1)*100))))</f>
        <v>-4.666372531208641</v>
      </c>
      <c r="AC18" s="19"/>
      <c r="AD18" s="121">
        <v>40369</v>
      </c>
      <c r="AE18" s="122">
        <v>38119</v>
      </c>
      <c r="AF18" s="121">
        <f>IF(AND(AE18=0,AD18=0),0,IF(OR(AND(AE18&gt;0,AD18&lt;=0),AND(AE18&lt;0,AD18&gt;=0)),"nm",IF(AND(AE18&lt;0,AD18&lt;0),IF(-(AE18/AD18-1)*100&lt;-100,"(&gt;100)",-(AE18/AD18-1)*100),IF((AE18/AD18-1)*100&gt;100,"&gt;100",(AE18/AD18-1)*100))))</f>
        <v>-5.5735836904555525</v>
      </c>
      <c r="AG18" s="18"/>
      <c r="AH18" s="18"/>
      <c r="AI18" s="18"/>
      <c r="AJ18" s="18"/>
    </row>
    <row r="19" spans="2:36" ht="15">
      <c r="B19" s="22" t="s">
        <v>73</v>
      </c>
      <c r="C19" s="22"/>
      <c r="D19" s="75">
        <v>10735</v>
      </c>
      <c r="E19" s="75">
        <v>11211</v>
      </c>
      <c r="F19" s="75">
        <v>13495</v>
      </c>
      <c r="G19" s="75">
        <v>30147</v>
      </c>
      <c r="H19" s="121">
        <v>30678</v>
      </c>
      <c r="I19" s="121"/>
      <c r="J19" s="121">
        <v>10567</v>
      </c>
      <c r="K19" s="121">
        <v>10161</v>
      </c>
      <c r="L19" s="121">
        <v>10437</v>
      </c>
      <c r="M19" s="121">
        <v>11211</v>
      </c>
      <c r="N19" s="121">
        <v>11647</v>
      </c>
      <c r="O19" s="121">
        <v>11455</v>
      </c>
      <c r="P19" s="121">
        <v>11322</v>
      </c>
      <c r="Q19" s="121">
        <v>13495</v>
      </c>
      <c r="R19" s="121">
        <v>14262</v>
      </c>
      <c r="S19" s="121">
        <v>19121</v>
      </c>
      <c r="T19" s="121">
        <v>23620</v>
      </c>
      <c r="U19" s="121">
        <v>30147</v>
      </c>
      <c r="V19" s="121">
        <v>30272</v>
      </c>
      <c r="W19" s="121">
        <v>30848</v>
      </c>
      <c r="X19" s="121">
        <v>27538</v>
      </c>
      <c r="Y19" s="121">
        <v>30678</v>
      </c>
      <c r="Z19" s="119">
        <v>36997</v>
      </c>
      <c r="AA19" s="121">
        <f>IF(AND(Z19=0,Y19=0),0,IF(OR(AND(Z19&gt;0,Y19&lt;=0),AND(Z19&lt;0,Y19&gt;=0)),"nm",IF(AND(Z19&lt;0,Y19&lt;0),IF(-(Z19/Y19-1)*100&lt;-100,"(&gt;100)",-(Z19/Y19-1)*100),IF((Z19/Y19-1)*100&gt;100,"&gt;100",(Z19/Y19-1)*100))))</f>
        <v>20.597822543842504</v>
      </c>
      <c r="AB19" s="121">
        <f>IF(AND(Z19=0,V19=0),0,IF(OR(AND(Z19&gt;0,V19&lt;=0),AND(Z19&lt;0,V19&gt;=0)),"nm",IF(AND(Z19&lt;0,V19&lt;0),IF(-(Z19/V19-1)*100&lt;-100,"(&gt;100)",-(Z19/V19-1)*100),IF((Z19/V19-1)*100&gt;100,"&gt;100",(Z19/V19-1)*100))))</f>
        <v>22.21524841437632</v>
      </c>
      <c r="AC19" s="19"/>
      <c r="AD19" s="121">
        <v>30147</v>
      </c>
      <c r="AE19" s="122">
        <v>30678</v>
      </c>
      <c r="AF19" s="121">
        <f>IF(AND(AE19=0,AD19=0),0,IF(OR(AND(AE19&gt;0,AD19&lt;=0),AND(AE19&lt;0,AD19&gt;=0)),"nm",IF(AND(AE19&lt;0,AD19&lt;0),IF(-(AE19/AD19-1)*100&lt;-100,"(&gt;100)",-(AE19/AD19-1)*100),IF((AE19/AD19-1)*100&gt;100,"&gt;100",(AE19/AD19-1)*100))))</f>
        <v>1.7613692904766554</v>
      </c>
      <c r="AG19" s="18"/>
      <c r="AH19" s="18"/>
      <c r="AI19" s="18"/>
      <c r="AJ19" s="18"/>
    </row>
    <row r="20" spans="2:36" ht="15">
      <c r="B20" s="22" t="s">
        <v>93</v>
      </c>
      <c r="C20" s="22"/>
      <c r="D20" s="75">
        <v>10662</v>
      </c>
      <c r="E20" s="75">
        <v>11726</v>
      </c>
      <c r="F20" s="75">
        <v>13976</v>
      </c>
      <c r="G20" s="75">
        <v>19290</v>
      </c>
      <c r="H20" s="121">
        <v>23045</v>
      </c>
      <c r="I20" s="121"/>
      <c r="J20" s="121">
        <v>10820</v>
      </c>
      <c r="K20" s="121">
        <v>11026</v>
      </c>
      <c r="L20" s="121">
        <v>11969</v>
      </c>
      <c r="M20" s="121">
        <v>11726</v>
      </c>
      <c r="N20" s="121">
        <v>12020</v>
      </c>
      <c r="O20" s="121">
        <v>13653</v>
      </c>
      <c r="P20" s="121">
        <v>13677</v>
      </c>
      <c r="Q20" s="121">
        <v>13976</v>
      </c>
      <c r="R20" s="121">
        <v>15430</v>
      </c>
      <c r="S20" s="121">
        <v>15918</v>
      </c>
      <c r="T20" s="121">
        <v>18131</v>
      </c>
      <c r="U20" s="121">
        <v>19290</v>
      </c>
      <c r="V20" s="121">
        <v>19684</v>
      </c>
      <c r="W20" s="121">
        <v>22226</v>
      </c>
      <c r="X20" s="121">
        <v>22751</v>
      </c>
      <c r="Y20" s="121">
        <v>23045</v>
      </c>
      <c r="Z20" s="119">
        <v>22357</v>
      </c>
      <c r="AA20" s="121">
        <f>IF(AND(Z20=0,Y20=0),0,IF(OR(AND(Z20&gt;0,Y20&lt;=0),AND(Z20&lt;0,Y20&gt;=0)),"nm",IF(AND(Z20&lt;0,Y20&lt;0),IF(-(Z20/Y20-1)*100&lt;-100,"(&gt;100)",-(Z20/Y20-1)*100),IF((Z20/Y20-1)*100&gt;100,"&gt;100",(Z20/Y20-1)*100))))</f>
        <v>-2.9854632241267054</v>
      </c>
      <c r="AB20" s="121">
        <f>IF(AND(Z20=0,V20=0),0,IF(OR(AND(Z20&gt;0,V20&lt;=0),AND(Z20&lt;0,V20&gt;=0)),"nm",IF(AND(Z20&lt;0,V20&lt;0),IF(-(Z20/V20-1)*100&lt;-100,"(&gt;100)",-(Z20/V20-1)*100),IF((Z20/V20-1)*100&gt;100,"&gt;100",(Z20/V20-1)*100))))</f>
        <v>13.579557000609622</v>
      </c>
      <c r="AC20" s="19"/>
      <c r="AD20" s="121">
        <v>19290</v>
      </c>
      <c r="AE20" s="122">
        <v>23045</v>
      </c>
      <c r="AF20" s="121">
        <f>IF(AND(AE20=0,AD20=0),0,IF(OR(AND(AE20&gt;0,AD20&lt;=0),AND(AE20&lt;0,AD20&gt;=0)),"nm",IF(AND(AE20&lt;0,AD20&lt;0),IF(-(AE20/AD20-1)*100&lt;-100,"(&gt;100)",-(AE20/AD20-1)*100),IF((AE20/AD20-1)*100&gt;100,"&gt;100",(AE20/AD20-1)*100))))</f>
        <v>19.466044582685328</v>
      </c>
      <c r="AG20" s="18"/>
      <c r="AH20" s="18"/>
      <c r="AI20" s="18"/>
      <c r="AJ20" s="18"/>
    </row>
    <row r="21" spans="2:36" ht="15">
      <c r="B21" s="22" t="s">
        <v>96</v>
      </c>
      <c r="C21" s="22"/>
      <c r="D21" s="75">
        <v>15291</v>
      </c>
      <c r="E21" s="75">
        <v>15771</v>
      </c>
      <c r="F21" s="75">
        <v>15968</v>
      </c>
      <c r="G21" s="75">
        <v>18594</v>
      </c>
      <c r="H21" s="121">
        <v>20501</v>
      </c>
      <c r="I21" s="121"/>
      <c r="J21" s="121">
        <v>16352</v>
      </c>
      <c r="K21" s="121">
        <v>16196</v>
      </c>
      <c r="L21" s="121">
        <v>15315</v>
      </c>
      <c r="M21" s="121">
        <v>15771</v>
      </c>
      <c r="N21" s="121">
        <v>15652</v>
      </c>
      <c r="O21" s="121">
        <v>16360</v>
      </c>
      <c r="P21" s="121">
        <v>15997</v>
      </c>
      <c r="Q21" s="121">
        <v>15968</v>
      </c>
      <c r="R21" s="121">
        <v>16029</v>
      </c>
      <c r="S21" s="121">
        <v>16019</v>
      </c>
      <c r="T21" s="121">
        <v>18558</v>
      </c>
      <c r="U21" s="121">
        <v>18594</v>
      </c>
      <c r="V21" s="121">
        <v>19556</v>
      </c>
      <c r="W21" s="121">
        <v>19741</v>
      </c>
      <c r="X21" s="121">
        <v>19284</v>
      </c>
      <c r="Y21" s="121">
        <v>20501</v>
      </c>
      <c r="Z21" s="119">
        <v>20515</v>
      </c>
      <c r="AA21" s="121">
        <f>IF(AND(Z21=0,Y21=0),0,IF(OR(AND(Z21&gt;0,Y21&lt;=0),AND(Z21&lt;0,Y21&gt;=0)),"nm",IF(AND(Z21&lt;0,Y21&lt;0),IF(-(Z21/Y21-1)*100&lt;-100,"(&gt;100)",-(Z21/Y21-1)*100),IF((Z21/Y21-1)*100&gt;100,"&gt;100",(Z21/Y21-1)*100))))</f>
        <v>0.06828935173894823</v>
      </c>
      <c r="AB21" s="121">
        <f>IF(AND(Z21=0,V21=0),0,IF(OR(AND(Z21&gt;0,V21&lt;=0),AND(Z21&lt;0,V21&gt;=0)),"nm",IF(AND(Z21&lt;0,V21&lt;0),IF(-(Z21/V21-1)*100&lt;-100,"(&gt;100)",-(Z21/V21-1)*100),IF((Z21/V21-1)*100&gt;100,"&gt;100",(Z21/V21-1)*100))))</f>
        <v>4.903865821231346</v>
      </c>
      <c r="AC21" s="19"/>
      <c r="AD21" s="121">
        <v>18594</v>
      </c>
      <c r="AE21" s="122">
        <v>20501</v>
      </c>
      <c r="AF21" s="121">
        <f>IF(AND(AE21=0,AD21=0),0,IF(OR(AND(AE21&gt;0,AD21&lt;=0),AND(AE21&lt;0,AD21&gt;=0)),"nm",IF(AND(AE21&lt;0,AD21&lt;0),IF(-(AE21/AD21-1)*100&lt;-100,"(&gt;100)",-(AE21/AD21-1)*100),IF((AE21/AD21-1)*100&gt;100,"&gt;100",(AE21/AD21-1)*100))))</f>
        <v>10.255996558029468</v>
      </c>
      <c r="AG21" s="18"/>
      <c r="AH21" s="18"/>
      <c r="AI21" s="18"/>
      <c r="AJ21" s="18"/>
    </row>
    <row r="22" spans="1:36" ht="15">
      <c r="A22" s="91" t="s">
        <v>89</v>
      </c>
      <c r="C22" s="22"/>
      <c r="D22" s="75"/>
      <c r="W22" s="121"/>
      <c r="X22" s="121"/>
      <c r="AE22" s="142"/>
      <c r="AG22" s="18"/>
      <c r="AH22" s="18"/>
      <c r="AI22" s="18"/>
      <c r="AJ22" s="18"/>
    </row>
    <row r="23" spans="2:36" ht="15">
      <c r="B23" s="22" t="s">
        <v>83</v>
      </c>
      <c r="C23" s="22"/>
      <c r="D23" s="75">
        <v>15958</v>
      </c>
      <c r="E23" s="75">
        <v>16239</v>
      </c>
      <c r="F23" s="75">
        <v>19217</v>
      </c>
      <c r="G23" s="75">
        <v>24872</v>
      </c>
      <c r="H23" s="121">
        <v>26625</v>
      </c>
      <c r="J23" s="75">
        <v>16946</v>
      </c>
      <c r="K23" s="75">
        <v>15589</v>
      </c>
      <c r="L23" s="75">
        <v>16242</v>
      </c>
      <c r="M23" s="75">
        <v>16239</v>
      </c>
      <c r="N23" s="75">
        <v>17098</v>
      </c>
      <c r="O23" s="75">
        <v>18404</v>
      </c>
      <c r="P23" s="75">
        <v>17814</v>
      </c>
      <c r="Q23" s="75">
        <v>19217</v>
      </c>
      <c r="R23" s="75">
        <v>19820</v>
      </c>
      <c r="S23" s="75">
        <v>22508</v>
      </c>
      <c r="T23" s="75">
        <v>23719</v>
      </c>
      <c r="U23" s="75">
        <v>24872</v>
      </c>
      <c r="V23" s="75">
        <v>25792</v>
      </c>
      <c r="W23" s="121">
        <v>27526</v>
      </c>
      <c r="X23" s="121">
        <v>26456</v>
      </c>
      <c r="Y23" s="75">
        <v>27037</v>
      </c>
      <c r="Z23" s="119">
        <v>31385</v>
      </c>
      <c r="AA23" s="121">
        <f aca="true" t="shared" si="0" ref="AA23:AA30">IF(AND(Z23=0,Y23=0),0,IF(OR(AND(Z23&gt;0,Y23&lt;=0),AND(Z23&lt;0,Y23&gt;=0)),"nm",IF(AND(Z23&lt;0,Y23&lt;0),IF(-(Z23/Y23-1)*100&lt;-100,"(&gt;100)",-(Z23/Y23-1)*100),IF((Z23/Y23-1)*100&gt;100,"&gt;100",(Z23/Y23-1)*100))))</f>
        <v>16.08166586529571</v>
      </c>
      <c r="AB23" s="121">
        <f aca="true" t="shared" si="1" ref="AB23:AB30">IF(AND(Z23=0,V23=0),0,IF(OR(AND(Z23&gt;0,V23&lt;=0),AND(Z23&lt;0,V23&gt;=0)),"nm",IF(AND(Z23&lt;0,V23&lt;0),IF(-(Z23/V23-1)*100&lt;-100,"(&gt;100)",-(Z23/V23-1)*100),IF((Z23/V23-1)*100&gt;100,"&gt;100",(Z23/V23-1)*100))))</f>
        <v>21.685018610421846</v>
      </c>
      <c r="AC23" s="19"/>
      <c r="AD23" s="121">
        <v>24872</v>
      </c>
      <c r="AE23" s="122">
        <v>26625</v>
      </c>
      <c r="AF23" s="75">
        <f aca="true" t="shared" si="2" ref="AF23:AF30">IF(AND(AE23=0,AD23=0),0,IF(OR(AND(AE23&gt;0,AD23&lt;=0),AND(AE23&lt;0,AD23&gt;=0)),"nm",IF(AND(AE23&lt;0,AD23&lt;0),IF(-(AE23/AD23-1)*100&lt;-100,"(&gt;100)",-(AE23/AD23-1)*100),IF((AE23/AD23-1)*100&gt;100,"&gt;100",(AE23/AD23-1)*100))))</f>
        <v>7.048086201350912</v>
      </c>
      <c r="AG23" s="18"/>
      <c r="AH23" s="18"/>
      <c r="AI23" s="18"/>
      <c r="AJ23" s="18"/>
    </row>
    <row r="24" spans="2:36" ht="15">
      <c r="B24" s="22" t="s">
        <v>84</v>
      </c>
      <c r="C24" s="22"/>
      <c r="D24" s="75">
        <v>17931</v>
      </c>
      <c r="E24" s="75">
        <v>18433</v>
      </c>
      <c r="F24" s="75">
        <v>21385</v>
      </c>
      <c r="G24" s="75">
        <v>28527</v>
      </c>
      <c r="H24" s="121">
        <v>32073</v>
      </c>
      <c r="J24" s="75">
        <v>18786</v>
      </c>
      <c r="K24" s="75">
        <v>18220</v>
      </c>
      <c r="L24" s="75">
        <v>17722</v>
      </c>
      <c r="M24" s="75">
        <v>18433</v>
      </c>
      <c r="N24" s="75">
        <v>18852</v>
      </c>
      <c r="O24" s="75">
        <v>20282</v>
      </c>
      <c r="P24" s="75">
        <v>21194</v>
      </c>
      <c r="Q24" s="75">
        <v>21385</v>
      </c>
      <c r="R24" s="75">
        <v>23537</v>
      </c>
      <c r="S24" s="75">
        <v>24555</v>
      </c>
      <c r="T24" s="75">
        <v>26798</v>
      </c>
      <c r="U24" s="75">
        <v>28527</v>
      </c>
      <c r="V24" s="75">
        <v>33606</v>
      </c>
      <c r="W24" s="121">
        <v>34698</v>
      </c>
      <c r="X24" s="121">
        <v>34939</v>
      </c>
      <c r="Y24" s="75">
        <v>36179</v>
      </c>
      <c r="Z24" s="119">
        <v>37113</v>
      </c>
      <c r="AA24" s="121">
        <f t="shared" si="0"/>
        <v>2.5816081152049586</v>
      </c>
      <c r="AB24" s="121">
        <f t="shared" si="1"/>
        <v>10.435636493483313</v>
      </c>
      <c r="AC24" s="19"/>
      <c r="AD24" s="121">
        <v>28527</v>
      </c>
      <c r="AE24" s="122">
        <v>32073</v>
      </c>
      <c r="AF24" s="75">
        <f t="shared" si="2"/>
        <v>12.430329161846675</v>
      </c>
      <c r="AG24" s="18"/>
      <c r="AH24" s="18"/>
      <c r="AI24" s="18"/>
      <c r="AJ24" s="18"/>
    </row>
    <row r="25" spans="2:36" ht="15">
      <c r="B25" s="22" t="s">
        <v>85</v>
      </c>
      <c r="C25" s="22"/>
      <c r="D25" s="75">
        <v>29375</v>
      </c>
      <c r="E25" s="75">
        <v>33120</v>
      </c>
      <c r="F25" s="75">
        <v>38676</v>
      </c>
      <c r="G25" s="75">
        <v>41322</v>
      </c>
      <c r="H25" s="121">
        <v>45570</v>
      </c>
      <c r="J25" s="75">
        <v>29882</v>
      </c>
      <c r="K25" s="75">
        <v>29821</v>
      </c>
      <c r="L25" s="75">
        <v>30956</v>
      </c>
      <c r="M25" s="75">
        <v>33120</v>
      </c>
      <c r="N25" s="75">
        <v>34949</v>
      </c>
      <c r="O25" s="75">
        <v>37082</v>
      </c>
      <c r="P25" s="75">
        <v>38030</v>
      </c>
      <c r="Q25" s="75">
        <v>38676</v>
      </c>
      <c r="R25" s="75">
        <v>38929</v>
      </c>
      <c r="S25" s="75">
        <v>39368</v>
      </c>
      <c r="T25" s="75">
        <v>40749</v>
      </c>
      <c r="U25" s="75">
        <v>41322</v>
      </c>
      <c r="V25" s="75">
        <v>41763</v>
      </c>
      <c r="W25" s="121">
        <v>43086</v>
      </c>
      <c r="X25" s="121">
        <v>44147</v>
      </c>
      <c r="Y25" s="75">
        <v>45570</v>
      </c>
      <c r="Z25" s="119">
        <v>46500</v>
      </c>
      <c r="AA25" s="121">
        <f t="shared" si="0"/>
        <v>2.0408163265306145</v>
      </c>
      <c r="AB25" s="121">
        <f t="shared" si="1"/>
        <v>11.342575964370383</v>
      </c>
      <c r="AC25" s="19"/>
      <c r="AD25" s="121">
        <v>41322</v>
      </c>
      <c r="AE25" s="122">
        <v>45570</v>
      </c>
      <c r="AF25" s="75">
        <f>IF(AND(AE25=0,AD25=0),0,IF(OR(AND(AE25&gt;0,AD25&lt;=0),AND(AE25&lt;0,AD25&gt;=0)),"nm",IF(AND(AE25&lt;0,AD25&lt;0),IF(-(AE25/AD25-1)*100&lt;-100,"(&gt;100)",-(AE25/AD25-1)*100),IF((AE25/AD25-1)*100&gt;100,"&gt;100",(AE25/AD25-1)*100))))</f>
        <v>10.280238129809781</v>
      </c>
      <c r="AG25" s="18"/>
      <c r="AH25" s="18"/>
      <c r="AI25" s="18"/>
      <c r="AJ25" s="18"/>
    </row>
    <row r="26" spans="2:36" ht="15">
      <c r="B26" s="22" t="s">
        <v>86</v>
      </c>
      <c r="C26" s="22"/>
      <c r="D26" s="75">
        <v>13075</v>
      </c>
      <c r="E26" s="75">
        <v>13335</v>
      </c>
      <c r="F26" s="75">
        <v>16732</v>
      </c>
      <c r="G26" s="75">
        <v>34159</v>
      </c>
      <c r="H26" s="121">
        <v>38077</v>
      </c>
      <c r="J26" s="75">
        <v>12426</v>
      </c>
      <c r="K26" s="75">
        <v>12117</v>
      </c>
      <c r="L26" s="75">
        <v>12245</v>
      </c>
      <c r="M26" s="75">
        <v>13335</v>
      </c>
      <c r="N26" s="75">
        <v>13617</v>
      </c>
      <c r="O26" s="75">
        <v>14798</v>
      </c>
      <c r="P26" s="75">
        <v>15053</v>
      </c>
      <c r="Q26" s="75">
        <v>16732</v>
      </c>
      <c r="R26" s="75">
        <v>17554</v>
      </c>
      <c r="S26" s="75">
        <v>23545</v>
      </c>
      <c r="T26" s="75">
        <v>31217</v>
      </c>
      <c r="U26" s="75">
        <v>34159</v>
      </c>
      <c r="V26" s="75">
        <v>35102</v>
      </c>
      <c r="W26" s="121">
        <v>37260</v>
      </c>
      <c r="X26" s="121">
        <v>35691</v>
      </c>
      <c r="Y26" s="75">
        <v>38230</v>
      </c>
      <c r="Z26" s="119">
        <v>46147</v>
      </c>
      <c r="AA26" s="121">
        <f t="shared" si="0"/>
        <v>20.708867381637464</v>
      </c>
      <c r="AB26" s="121">
        <f t="shared" si="1"/>
        <v>31.465443564469254</v>
      </c>
      <c r="AC26" s="19"/>
      <c r="AD26" s="121">
        <v>34159</v>
      </c>
      <c r="AE26" s="122">
        <v>38077</v>
      </c>
      <c r="AF26" s="75">
        <f t="shared" si="2"/>
        <v>11.469890804765948</v>
      </c>
      <c r="AG26" s="18"/>
      <c r="AH26" s="18"/>
      <c r="AI26" s="18"/>
      <c r="AJ26" s="18"/>
    </row>
    <row r="27" spans="2:36" ht="15">
      <c r="B27" s="22" t="s">
        <v>87</v>
      </c>
      <c r="C27" s="22"/>
      <c r="D27" s="75">
        <v>12457</v>
      </c>
      <c r="E27" s="75">
        <v>12277</v>
      </c>
      <c r="F27" s="75">
        <v>14378</v>
      </c>
      <c r="G27" s="75">
        <v>16929</v>
      </c>
      <c r="H27" s="121">
        <v>17177</v>
      </c>
      <c r="J27" s="75">
        <v>13073</v>
      </c>
      <c r="K27" s="75">
        <v>13043</v>
      </c>
      <c r="L27" s="75">
        <v>13026</v>
      </c>
      <c r="M27" s="75">
        <v>12277</v>
      </c>
      <c r="N27" s="75">
        <v>12598</v>
      </c>
      <c r="O27" s="75">
        <v>13294</v>
      </c>
      <c r="P27" s="75">
        <v>13714</v>
      </c>
      <c r="Q27" s="75">
        <v>14378</v>
      </c>
      <c r="R27" s="75">
        <v>14872</v>
      </c>
      <c r="S27" s="75">
        <v>15938</v>
      </c>
      <c r="T27" s="75">
        <v>16961</v>
      </c>
      <c r="U27" s="75">
        <v>16929</v>
      </c>
      <c r="V27" s="75">
        <v>16731</v>
      </c>
      <c r="W27" s="121">
        <f>18151+518</f>
        <v>18669</v>
      </c>
      <c r="X27" s="121">
        <f>16615+499</f>
        <v>17114</v>
      </c>
      <c r="Y27" s="75">
        <v>17745</v>
      </c>
      <c r="Z27" s="119">
        <v>17535</v>
      </c>
      <c r="AA27" s="121">
        <f t="shared" si="0"/>
        <v>-1.1834319526627168</v>
      </c>
      <c r="AB27" s="121">
        <f t="shared" si="1"/>
        <v>4.8054509592971195</v>
      </c>
      <c r="AC27" s="19"/>
      <c r="AD27" s="121">
        <v>16929</v>
      </c>
      <c r="AE27" s="122">
        <v>17177</v>
      </c>
      <c r="AF27" s="75">
        <f t="shared" si="2"/>
        <v>1.4649418158189986</v>
      </c>
      <c r="AG27" s="18"/>
      <c r="AH27" s="18"/>
      <c r="AI27" s="18"/>
      <c r="AJ27" s="18"/>
    </row>
    <row r="28" spans="2:36" ht="15">
      <c r="B28" s="22" t="s">
        <v>88</v>
      </c>
      <c r="C28" s="22"/>
      <c r="D28" s="75">
        <v>14490</v>
      </c>
      <c r="E28" s="75">
        <v>16710</v>
      </c>
      <c r="F28" s="75">
        <v>18517</v>
      </c>
      <c r="G28" s="75">
        <v>19743</v>
      </c>
      <c r="H28" s="121">
        <v>16914</v>
      </c>
      <c r="J28" s="75">
        <v>16988</v>
      </c>
      <c r="K28" s="75">
        <v>17107</v>
      </c>
      <c r="L28" s="75">
        <v>16939</v>
      </c>
      <c r="M28" s="75">
        <v>16710</v>
      </c>
      <c r="N28" s="75">
        <v>16813</v>
      </c>
      <c r="O28" s="75">
        <v>20202</v>
      </c>
      <c r="P28" s="75">
        <v>19868</v>
      </c>
      <c r="Q28" s="75">
        <v>18517</v>
      </c>
      <c r="R28" s="75">
        <v>17698</v>
      </c>
      <c r="S28" s="75">
        <v>16104</v>
      </c>
      <c r="T28" s="75">
        <v>19222</v>
      </c>
      <c r="U28" s="75">
        <v>19743</v>
      </c>
      <c r="V28" s="75">
        <v>11064</v>
      </c>
      <c r="W28" s="121">
        <f>11131-518</f>
        <v>10613</v>
      </c>
      <c r="X28" s="121">
        <f>10657-499</f>
        <v>10158</v>
      </c>
      <c r="Y28" s="75">
        <v>11155</v>
      </c>
      <c r="Z28" s="119">
        <v>10431</v>
      </c>
      <c r="AA28" s="121">
        <f t="shared" si="0"/>
        <v>-6.490363065889737</v>
      </c>
      <c r="AB28" s="121">
        <f t="shared" si="1"/>
        <v>-5.7212581344902365</v>
      </c>
      <c r="AC28" s="19"/>
      <c r="AD28" s="121">
        <v>19743</v>
      </c>
      <c r="AE28" s="122">
        <v>16914</v>
      </c>
      <c r="AF28" s="75">
        <f t="shared" si="2"/>
        <v>-14.329129311654764</v>
      </c>
      <c r="AG28" s="18"/>
      <c r="AH28" s="18"/>
      <c r="AI28" s="18"/>
      <c r="AJ28" s="18"/>
    </row>
    <row r="29" spans="2:36" ht="15">
      <c r="B29" s="22" t="s">
        <v>90</v>
      </c>
      <c r="C29" s="22"/>
      <c r="D29" s="75">
        <v>10478</v>
      </c>
      <c r="E29" s="75">
        <v>10873</v>
      </c>
      <c r="F29" s="75">
        <v>11142</v>
      </c>
      <c r="G29" s="75">
        <v>12800</v>
      </c>
      <c r="H29" s="121">
        <v>14969</v>
      </c>
      <c r="J29" s="75">
        <v>10346</v>
      </c>
      <c r="K29" s="75">
        <v>10660</v>
      </c>
      <c r="L29" s="75">
        <v>10559</v>
      </c>
      <c r="M29" s="75">
        <v>10873</v>
      </c>
      <c r="N29" s="75">
        <v>10397</v>
      </c>
      <c r="O29" s="75">
        <v>10480</v>
      </c>
      <c r="P29" s="75">
        <v>10652</v>
      </c>
      <c r="Q29" s="75">
        <v>11142</v>
      </c>
      <c r="R29" s="75">
        <v>11447</v>
      </c>
      <c r="S29" s="75">
        <v>12526</v>
      </c>
      <c r="T29" s="75">
        <v>11926</v>
      </c>
      <c r="U29" s="75">
        <v>12800</v>
      </c>
      <c r="V29" s="75">
        <v>13360</v>
      </c>
      <c r="W29" s="121">
        <v>14295</v>
      </c>
      <c r="X29" s="121">
        <v>14950</v>
      </c>
      <c r="Y29" s="75">
        <v>14969</v>
      </c>
      <c r="Z29" s="119">
        <v>15488</v>
      </c>
      <c r="AA29" s="121">
        <f t="shared" si="0"/>
        <v>3.467165475315648</v>
      </c>
      <c r="AB29" s="121">
        <f t="shared" si="1"/>
        <v>15.92814371257485</v>
      </c>
      <c r="AC29" s="19"/>
      <c r="AD29" s="121">
        <v>12800</v>
      </c>
      <c r="AE29" s="122">
        <v>14969</v>
      </c>
      <c r="AF29" s="75">
        <f t="shared" si="2"/>
        <v>16.9453125</v>
      </c>
      <c r="AG29" s="18"/>
      <c r="AH29" s="18"/>
      <c r="AI29" s="18"/>
      <c r="AJ29" s="18"/>
    </row>
    <row r="30" spans="2:36" ht="15">
      <c r="B30" s="22" t="s">
        <v>35</v>
      </c>
      <c r="C30" s="22"/>
      <c r="D30" s="75">
        <v>14601</v>
      </c>
      <c r="E30" s="75">
        <v>12433</v>
      </c>
      <c r="F30" s="75">
        <v>14675</v>
      </c>
      <c r="G30" s="75">
        <v>19475</v>
      </c>
      <c r="H30" s="121">
        <v>22423</v>
      </c>
      <c r="J30" s="75">
        <v>14337</v>
      </c>
      <c r="K30" s="75">
        <v>13849</v>
      </c>
      <c r="L30" s="75">
        <v>13174</v>
      </c>
      <c r="M30" s="75">
        <v>12433</v>
      </c>
      <c r="N30" s="75">
        <v>12671</v>
      </c>
      <c r="O30" s="75">
        <v>14606</v>
      </c>
      <c r="P30" s="75">
        <v>14209</v>
      </c>
      <c r="Q30" s="75">
        <v>14675</v>
      </c>
      <c r="R30" s="75">
        <v>16244</v>
      </c>
      <c r="S30" s="75">
        <v>16913</v>
      </c>
      <c r="T30" s="75">
        <v>17944</v>
      </c>
      <c r="U30" s="75">
        <v>19475</v>
      </c>
      <c r="V30" s="75">
        <v>23327</v>
      </c>
      <c r="W30" s="121">
        <v>22308</v>
      </c>
      <c r="X30" s="121">
        <v>22280</v>
      </c>
      <c r="Y30" s="75">
        <v>22943</v>
      </c>
      <c r="Z30" s="119">
        <v>22430</v>
      </c>
      <c r="AA30" s="121">
        <f t="shared" si="0"/>
        <v>-2.235976114719085</v>
      </c>
      <c r="AB30" s="121">
        <f t="shared" si="1"/>
        <v>-3.845329446564072</v>
      </c>
      <c r="AC30" s="19"/>
      <c r="AD30" s="121">
        <v>19475</v>
      </c>
      <c r="AE30" s="122">
        <v>22423</v>
      </c>
      <c r="AF30" s="75">
        <f t="shared" si="2"/>
        <v>15.137355584082158</v>
      </c>
      <c r="AG30" s="18"/>
      <c r="AH30" s="18"/>
      <c r="AI30" s="18"/>
      <c r="AJ30" s="18"/>
    </row>
    <row r="31" spans="1:36" ht="15">
      <c r="A31" s="91" t="s">
        <v>349</v>
      </c>
      <c r="C31" s="22"/>
      <c r="D31" s="75"/>
      <c r="H31" s="121"/>
      <c r="R31" s="121"/>
      <c r="S31" s="121"/>
      <c r="T31" s="121"/>
      <c r="U31" s="121"/>
      <c r="V31" s="121"/>
      <c r="W31" s="121"/>
      <c r="X31" s="121"/>
      <c r="Y31" s="121"/>
      <c r="AA31" s="121"/>
      <c r="AB31" s="121"/>
      <c r="AC31" s="19"/>
      <c r="AD31" s="121"/>
      <c r="AE31" s="142"/>
      <c r="AG31" s="18"/>
      <c r="AH31" s="18"/>
      <c r="AI31" s="18"/>
      <c r="AJ31" s="18"/>
    </row>
    <row r="32" spans="2:36" ht="15">
      <c r="B32" s="22" t="s">
        <v>97</v>
      </c>
      <c r="C32" s="22"/>
      <c r="D32" s="75">
        <v>53527</v>
      </c>
      <c r="E32" s="75">
        <v>56712</v>
      </c>
      <c r="F32" s="75">
        <v>67439</v>
      </c>
      <c r="G32" s="75">
        <v>78756</v>
      </c>
      <c r="H32" s="121">
        <v>90503</v>
      </c>
      <c r="J32" s="75">
        <v>56469</v>
      </c>
      <c r="K32" s="75">
        <v>56448</v>
      </c>
      <c r="L32" s="75">
        <v>56556</v>
      </c>
      <c r="M32" s="75">
        <v>56712</v>
      </c>
      <c r="N32" s="75">
        <v>58238</v>
      </c>
      <c r="O32" s="75">
        <v>60852</v>
      </c>
      <c r="P32" s="75">
        <v>64908</v>
      </c>
      <c r="Q32" s="75">
        <v>67439</v>
      </c>
      <c r="R32" s="121">
        <v>69075</v>
      </c>
      <c r="S32" s="121">
        <v>72334</v>
      </c>
      <c r="T32" s="121">
        <v>74831</v>
      </c>
      <c r="U32" s="121">
        <v>78756</v>
      </c>
      <c r="V32" s="121">
        <v>81938</v>
      </c>
      <c r="W32" s="121">
        <v>84216</v>
      </c>
      <c r="X32" s="121">
        <v>87617</v>
      </c>
      <c r="Y32" s="121">
        <v>90503</v>
      </c>
      <c r="Z32" s="119">
        <v>95110</v>
      </c>
      <c r="AA32" s="121">
        <f>IF(AND(Z32=0,Y32=0),0,IF(OR(AND(Z32&gt;0,Y32&lt;=0),AND(Z32&lt;0,Y32&gt;=0)),"nm",IF(AND(Z32&lt;0,Y32&lt;0),IF(-(Z32/Y32-1)*100&lt;-100,"(&gt;100)",-(Z32/Y32-1)*100),IF((Z32/Y32-1)*100&gt;100,"&gt;100",(Z32/Y32-1)*100))))</f>
        <v>5.090438990972679</v>
      </c>
      <c r="AB32" s="121">
        <f>IF(AND(Z32=0,V32=0),0,IF(OR(AND(Z32&gt;0,V32&lt;=0),AND(Z32&lt;0,V32&gt;=0)),"nm",IF(AND(Z32&lt;0,V32&lt;0),IF(-(Z32/V32-1)*100&lt;-100,"(&gt;100)",-(Z32/V32-1)*100),IF((Z32/V32-1)*100&gt;100,"&gt;100",(Z32/V32-1)*100))))</f>
        <v>16.075569332910256</v>
      </c>
      <c r="AC32" s="19"/>
      <c r="AD32" s="121">
        <v>78756</v>
      </c>
      <c r="AE32" s="122">
        <v>90503</v>
      </c>
      <c r="AF32" s="75">
        <f>IF(AND(AE32=0,AD32=0),0,IF(OR(AND(AE32&gt;0,AD32&lt;=0),AND(AE32&lt;0,AD32&gt;=0)),"nm",IF(AND(AE32&lt;0,AD32&lt;0),IF(-(AE32/AD32-1)*100&lt;-100,"(&gt;100)",-(AE32/AD32-1)*100),IF((AE32/AD32-1)*100&gt;100,"&gt;100",(AE32/AD32-1)*100))))</f>
        <v>14.915688963380557</v>
      </c>
      <c r="AG32" s="18"/>
      <c r="AH32" s="18"/>
      <c r="AI32" s="18"/>
      <c r="AJ32" s="18"/>
    </row>
    <row r="33" spans="2:36" ht="15">
      <c r="B33" s="22" t="s">
        <v>98</v>
      </c>
      <c r="C33" s="22"/>
      <c r="D33" s="75">
        <v>29347</v>
      </c>
      <c r="E33" s="75">
        <v>30274</v>
      </c>
      <c r="F33" s="75">
        <v>30478</v>
      </c>
      <c r="G33" s="75">
        <v>31511</v>
      </c>
      <c r="H33" s="121">
        <v>29443</v>
      </c>
      <c r="J33" s="75">
        <v>30272</v>
      </c>
      <c r="K33" s="75">
        <v>29141</v>
      </c>
      <c r="L33" s="75">
        <v>29042</v>
      </c>
      <c r="M33" s="75">
        <v>30274</v>
      </c>
      <c r="N33" s="75">
        <v>30876</v>
      </c>
      <c r="O33" s="75">
        <v>33073</v>
      </c>
      <c r="P33" s="75">
        <v>31789</v>
      </c>
      <c r="Q33" s="75">
        <v>30478</v>
      </c>
      <c r="R33" s="121">
        <v>30242</v>
      </c>
      <c r="S33" s="121">
        <v>29376</v>
      </c>
      <c r="T33" s="121">
        <v>31392</v>
      </c>
      <c r="U33" s="121">
        <v>31511</v>
      </c>
      <c r="V33" s="121">
        <v>29746</v>
      </c>
      <c r="W33" s="121">
        <v>30349</v>
      </c>
      <c r="X33" s="121">
        <v>29162</v>
      </c>
      <c r="Y33" s="121">
        <v>29443</v>
      </c>
      <c r="Z33" s="119">
        <v>29205</v>
      </c>
      <c r="AA33" s="121">
        <f>IF(AND(Z33=0,Y33=0),0,IF(OR(AND(Z33&gt;0,Y33&lt;=0),AND(Z33&lt;0,Y33&gt;=0)),"nm",IF(AND(Z33&lt;0,Y33&lt;0),IF(-(Z33/Y33-1)*100&lt;-100,"(&gt;100)",-(Z33/Y33-1)*100),IF((Z33/Y33-1)*100&gt;100,"&gt;100",(Z33/Y33-1)*100))))</f>
        <v>-0.8083415412831529</v>
      </c>
      <c r="AB33" s="121">
        <f>IF(AND(Z33=0,V33=0),0,IF(OR(AND(Z33&gt;0,V33&lt;=0),AND(Z33&lt;0,V33&gt;=0)),"nm",IF(AND(Z33&lt;0,V33&lt;0),IF(-(Z33/V33-1)*100&lt;-100,"(&gt;100)",-(Z33/V33-1)*100),IF((Z33/V33-1)*100&gt;100,"&gt;100",(Z33/V33-1)*100))))</f>
        <v>-1.8187319303435756</v>
      </c>
      <c r="AC33" s="19"/>
      <c r="AD33" s="121">
        <v>31511</v>
      </c>
      <c r="AE33" s="122">
        <v>29443</v>
      </c>
      <c r="AF33" s="75">
        <f>IF(AND(AE33=0,AD33=0),0,IF(OR(AND(AE33&gt;0,AD33&lt;=0),AND(AE33&lt;0,AD33&gt;=0)),"nm",IF(AND(AE33&lt;0,AD33&lt;0),IF(-(AE33/AD33-1)*100&lt;-100,"(&gt;100)",-(AE33/AD33-1)*100),IF((AE33/AD33-1)*100&gt;100,"&gt;100",(AE33/AD33-1)*100))))</f>
        <v>-6.562787597981656</v>
      </c>
      <c r="AG33" s="18"/>
      <c r="AH33" s="18"/>
      <c r="AI33" s="18"/>
      <c r="AJ33" s="18"/>
    </row>
    <row r="34" spans="2:36" ht="15">
      <c r="B34" s="22" t="s">
        <v>99</v>
      </c>
      <c r="C34" s="22"/>
      <c r="D34" s="75">
        <v>28123</v>
      </c>
      <c r="E34" s="75">
        <v>29449</v>
      </c>
      <c r="F34" s="75">
        <v>38094</v>
      </c>
      <c r="G34" s="75">
        <v>61007</v>
      </c>
      <c r="H34" s="121">
        <v>67156</v>
      </c>
      <c r="J34" s="75">
        <v>29194</v>
      </c>
      <c r="K34" s="75">
        <v>28076</v>
      </c>
      <c r="L34" s="75">
        <v>27773</v>
      </c>
      <c r="M34" s="75">
        <v>29449</v>
      </c>
      <c r="N34" s="75">
        <v>31047</v>
      </c>
      <c r="O34" s="75">
        <v>36355</v>
      </c>
      <c r="P34" s="75">
        <v>35755</v>
      </c>
      <c r="Q34" s="75">
        <v>38094</v>
      </c>
      <c r="R34" s="121">
        <v>41493</v>
      </c>
      <c r="S34" s="121">
        <v>49309</v>
      </c>
      <c r="T34" s="121">
        <v>58027</v>
      </c>
      <c r="U34" s="121">
        <v>61007</v>
      </c>
      <c r="V34" s="121">
        <v>61692</v>
      </c>
      <c r="W34" s="121">
        <v>65652</v>
      </c>
      <c r="X34" s="121">
        <v>62254</v>
      </c>
      <c r="Y34" s="121">
        <v>67156</v>
      </c>
      <c r="Z34" s="119">
        <v>73993</v>
      </c>
      <c r="AA34" s="121">
        <f>IF(AND(Z34=0,Y34=0),0,IF(OR(AND(Z34&gt;0,Y34&lt;=0),AND(Z34&lt;0,Y34&gt;=0)),"nm",IF(AND(Z34&lt;0,Y34&lt;0),IF(-(Z34/Y34-1)*100&lt;-100,"(&gt;100)",-(Z34/Y34-1)*100),IF((Z34/Y34-1)*100&gt;100,"&gt;100",(Z34/Y34-1)*100))))</f>
        <v>10.180773125260579</v>
      </c>
      <c r="AB34" s="121">
        <f>IF(AND(Z34=0,V34=0),0,IF(OR(AND(Z34&gt;0,V34&lt;=0),AND(Z34&lt;0,V34&gt;=0)),"nm",IF(AND(Z34&lt;0,V34&lt;0),IF(-(Z34/V34-1)*100&lt;-100,"(&gt;100)",-(Z34/V34-1)*100),IF((Z34/V34-1)*100&gt;100,"&gt;100",(Z34/V34-1)*100))))</f>
        <v>19.93937625624067</v>
      </c>
      <c r="AC34" s="19"/>
      <c r="AD34" s="121">
        <v>61007</v>
      </c>
      <c r="AE34" s="122">
        <v>67156</v>
      </c>
      <c r="AF34" s="75">
        <f>IF(AND(AE34=0,AD34=0),0,IF(OR(AND(AE34&gt;0,AD34&lt;=0),AND(AE34&lt;0,AD34&gt;=0)),"nm",IF(AND(AE34&lt;0,AD34&lt;0),IF(-(AE34/AD34-1)*100&lt;-100,"(&gt;100)",-(AE34/AD34-1)*100),IF((AE34/AD34-1)*100&gt;100,"&gt;100",(AE34/AD34-1)*100))))</f>
        <v>10.07917124264428</v>
      </c>
      <c r="AG34" s="18"/>
      <c r="AH34" s="18"/>
      <c r="AI34" s="18"/>
      <c r="AJ34" s="18"/>
    </row>
    <row r="35" spans="2:36" ht="15">
      <c r="B35" s="22" t="s">
        <v>35</v>
      </c>
      <c r="C35" s="22"/>
      <c r="D35" s="75">
        <v>17368</v>
      </c>
      <c r="E35" s="75">
        <v>16985</v>
      </c>
      <c r="F35" s="75">
        <v>18711</v>
      </c>
      <c r="G35" s="75">
        <v>26553</v>
      </c>
      <c r="H35" s="121">
        <v>26726</v>
      </c>
      <c r="J35" s="75">
        <v>16849</v>
      </c>
      <c r="K35" s="75">
        <v>16741</v>
      </c>
      <c r="L35" s="75">
        <v>17492</v>
      </c>
      <c r="M35" s="75">
        <v>16985</v>
      </c>
      <c r="N35" s="75">
        <v>16834</v>
      </c>
      <c r="O35" s="75">
        <v>18868</v>
      </c>
      <c r="P35" s="75">
        <v>18082</v>
      </c>
      <c r="Q35" s="75">
        <v>18711</v>
      </c>
      <c r="R35" s="121">
        <v>19291</v>
      </c>
      <c r="S35" s="121">
        <v>20438</v>
      </c>
      <c r="T35" s="121">
        <v>24286</v>
      </c>
      <c r="U35" s="121">
        <v>26553</v>
      </c>
      <c r="V35" s="121">
        <v>27369</v>
      </c>
      <c r="W35" s="121">
        <v>28238</v>
      </c>
      <c r="X35" s="121">
        <v>26702</v>
      </c>
      <c r="Y35" s="121">
        <v>26726</v>
      </c>
      <c r="Z35" s="119">
        <v>28721</v>
      </c>
      <c r="AA35" s="121">
        <f>IF(AND(Z35=0,Y35=0),0,IF(OR(AND(Z35&gt;0,Y35&lt;=0),AND(Z35&lt;0,Y35&gt;=0)),"nm",IF(AND(Z35&lt;0,Y35&lt;0),IF(-(Z35/Y35-1)*100&lt;-100,"(&gt;100)",-(Z35/Y35-1)*100),IF((Z35/Y35-1)*100&gt;100,"&gt;100",(Z35/Y35-1)*100))))</f>
        <v>7.464641173389208</v>
      </c>
      <c r="AB35" s="121">
        <f>IF(AND(Z35=0,V35=0),0,IF(OR(AND(Z35&gt;0,V35&lt;=0),AND(Z35&lt;0,V35&gt;=0)),"nm",IF(AND(Z35&lt;0,V35&lt;0),IF(-(Z35/V35-1)*100&lt;-100,"(&gt;100)",-(Z35/V35-1)*100),IF((Z35/V35-1)*100&gt;100,"&gt;100",(Z35/V35-1)*100))))</f>
        <v>4.939895502210523</v>
      </c>
      <c r="AC35" s="19"/>
      <c r="AD35" s="121">
        <v>26553</v>
      </c>
      <c r="AE35" s="122">
        <v>26726</v>
      </c>
      <c r="AF35" s="75">
        <f>IF(AND(AE35=0,AD35=0),0,IF(OR(AND(AE35&gt;0,AD35&lt;=0),AND(AE35&lt;0,AD35&gt;=0)),"nm",IF(AND(AE35&lt;0,AD35&lt;0),IF(-(AE35/AD35-1)*100&lt;-100,"(&gt;100)",-(AE35/AD35-1)*100),IF((AE35/AD35-1)*100&gt;100,"&gt;100",(AE35/AD35-1)*100))))</f>
        <v>0.6515271344104345</v>
      </c>
      <c r="AG35" s="18"/>
      <c r="AH35" s="18"/>
      <c r="AI35" s="18"/>
      <c r="AJ35" s="18"/>
    </row>
    <row r="36" spans="8:31" ht="14.25">
      <c r="H36" s="121"/>
      <c r="R36" s="121"/>
      <c r="S36" s="121"/>
      <c r="T36" s="121"/>
      <c r="U36" s="121"/>
      <c r="V36" s="121"/>
      <c r="W36" s="121"/>
      <c r="X36" s="121"/>
      <c r="Y36" s="121"/>
      <c r="AA36" s="121"/>
      <c r="AB36" s="121"/>
      <c r="AC36" s="19"/>
      <c r="AD36" s="121"/>
      <c r="AE36" s="142"/>
    </row>
    <row r="37" spans="8:31" ht="14.25">
      <c r="H37" s="121"/>
      <c r="R37" s="121"/>
      <c r="S37" s="121"/>
      <c r="T37" s="121"/>
      <c r="U37" s="121"/>
      <c r="V37" s="121"/>
      <c r="W37" s="121"/>
      <c r="X37" s="121"/>
      <c r="Y37" s="121"/>
      <c r="AA37" s="121"/>
      <c r="AB37" s="121"/>
      <c r="AC37" s="19"/>
      <c r="AD37" s="121"/>
      <c r="AE37" s="122"/>
    </row>
    <row r="38" spans="8:31" ht="14.25">
      <c r="H38" s="121"/>
      <c r="R38" s="121"/>
      <c r="S38" s="121"/>
      <c r="T38" s="121"/>
      <c r="U38" s="121"/>
      <c r="V38" s="121"/>
      <c r="W38" s="121"/>
      <c r="X38" s="121"/>
      <c r="Y38" s="121"/>
      <c r="Z38" s="122"/>
      <c r="AA38" s="121"/>
      <c r="AB38" s="121"/>
      <c r="AC38" s="19"/>
      <c r="AD38" s="121"/>
      <c r="AE38" s="122"/>
    </row>
    <row r="39" spans="18:31" ht="14.25">
      <c r="R39" s="121"/>
      <c r="S39" s="121"/>
      <c r="T39" s="121"/>
      <c r="U39" s="121"/>
      <c r="V39" s="121"/>
      <c r="W39" s="121"/>
      <c r="X39" s="121"/>
      <c r="Y39" s="121"/>
      <c r="Z39" s="122"/>
      <c r="AA39" s="121"/>
      <c r="AB39" s="121"/>
      <c r="AC39" s="19"/>
      <c r="AD39" s="121"/>
      <c r="AE39" s="122"/>
    </row>
    <row r="46" ht="14.25">
      <c r="B46" s="512" t="s">
        <v>432</v>
      </c>
    </row>
    <row r="47" ht="14.25">
      <c r="B47" s="512" t="s">
        <v>435</v>
      </c>
    </row>
  </sheetData>
  <sheetProtection/>
  <mergeCells count="1">
    <mergeCell ref="A2:C2"/>
  </mergeCells>
  <hyperlinks>
    <hyperlink ref="A2" location="Index!A1" display="Back to Index"/>
  </hyperlinks>
  <printOptions gridLines="1"/>
  <pageMargins left="0.49" right="0.25" top="1" bottom="1" header="0" footer="0"/>
  <pageSetup fitToHeight="1" fitToWidth="1" horizontalDpi="600" verticalDpi="600" orientation="portrait" paperSize="9" scale="81" r:id="rId1"/>
  <headerFooter alignWithMargins="0">
    <oddFooter>&amp;L&amp;8&amp;Z&amp;F&amp;A&amp;R&amp;8&amp;D&amp;T</oddFooter>
  </headerFooter>
</worksheet>
</file>

<file path=xl/worksheets/sheet9.xml><?xml version="1.0" encoding="utf-8"?>
<worksheet xmlns="http://schemas.openxmlformats.org/spreadsheetml/2006/main" xmlns:r="http://schemas.openxmlformats.org/officeDocument/2006/relationships">
  <sheetPr>
    <tabColor indexed="47"/>
    <pageSetUpPr fitToPage="1"/>
  </sheetPr>
  <dimension ref="A1:AH31"/>
  <sheetViews>
    <sheetView zoomScale="80" zoomScaleNormal="80" zoomScalePageLayoutView="0" workbookViewId="0" topLeftCell="A1">
      <pane xSplit="3" ySplit="2" topLeftCell="V3" activePane="bottomRight" state="frozen"/>
      <selection pane="topLeft" activeCell="P25" sqref="P25"/>
      <selection pane="topRight" activeCell="P25" sqref="P25"/>
      <selection pane="bottomLeft" activeCell="P25" sqref="P25"/>
      <selection pane="bottomRight" activeCell="Z19" sqref="Z19:Z21"/>
    </sheetView>
  </sheetViews>
  <sheetFormatPr defaultColWidth="9.140625" defaultRowHeight="12.75" outlineLevelCol="1"/>
  <cols>
    <col min="1" max="1" width="2.28125" style="22" customWidth="1"/>
    <col min="2" max="2" width="2.8515625" style="22" customWidth="1"/>
    <col min="3" max="3" width="53.8515625" style="10" customWidth="1"/>
    <col min="4" max="4" width="9.140625" style="76" hidden="1" customWidth="1" outlineLevel="1"/>
    <col min="5" max="8" width="9.140625" style="75" hidden="1" customWidth="1" outlineLevel="1"/>
    <col min="9" max="9" width="4.00390625" style="75" hidden="1" customWidth="1" outlineLevel="1"/>
    <col min="10" max="17" width="9.140625" style="75" hidden="1" customWidth="1" outlineLevel="1"/>
    <col min="18" max="19" width="9.140625" style="75" hidden="1" customWidth="1" outlineLevel="1" collapsed="1"/>
    <col min="20" max="21" width="0" style="75" hidden="1" customWidth="1" outlineLevel="1"/>
    <col min="22" max="22" width="9.140625" style="75" customWidth="1" collapsed="1"/>
    <col min="23" max="25" width="9.140625" style="75" customWidth="1"/>
    <col min="26" max="26" width="9.140625" style="119" customWidth="1"/>
    <col min="27" max="27" width="9.140625" style="132" customWidth="1"/>
    <col min="28" max="28" width="9.140625" style="75" customWidth="1"/>
    <col min="29" max="29" width="4.421875" style="21" customWidth="1"/>
    <col min="30" max="30" width="8.57421875" style="75" hidden="1" customWidth="1"/>
    <col min="31" max="31" width="8.57421875" style="119" hidden="1" customWidth="1"/>
    <col min="32" max="32" width="8.7109375" style="132" hidden="1" customWidth="1"/>
    <col min="33" max="16384" width="9.140625" style="22" customWidth="1"/>
  </cols>
  <sheetData>
    <row r="1" spans="1:32" s="42" customFormat="1" ht="20.25">
      <c r="A1" s="41" t="s">
        <v>135</v>
      </c>
      <c r="D1" s="123"/>
      <c r="E1" s="124"/>
      <c r="F1" s="124"/>
      <c r="G1" s="124"/>
      <c r="H1" s="124"/>
      <c r="I1" s="124"/>
      <c r="J1" s="124"/>
      <c r="K1" s="124"/>
      <c r="L1" s="124"/>
      <c r="M1" s="124"/>
      <c r="N1" s="124"/>
      <c r="O1" s="124"/>
      <c r="P1" s="124"/>
      <c r="Q1" s="124"/>
      <c r="R1" s="124"/>
      <c r="S1" s="124"/>
      <c r="T1" s="124"/>
      <c r="U1" s="124"/>
      <c r="V1" s="124"/>
      <c r="W1" s="124"/>
      <c r="X1" s="124"/>
      <c r="Y1" s="124"/>
      <c r="Z1" s="124"/>
      <c r="AA1" s="124"/>
      <c r="AB1" s="124"/>
      <c r="AC1" s="43"/>
      <c r="AD1" s="124"/>
      <c r="AE1" s="124"/>
      <c r="AF1" s="124"/>
    </row>
    <row r="2" spans="1:32" s="44" customFormat="1" ht="45">
      <c r="A2" s="515" t="s">
        <v>80</v>
      </c>
      <c r="B2" s="515"/>
      <c r="C2" s="515"/>
      <c r="D2" s="74" t="s">
        <v>60</v>
      </c>
      <c r="E2" s="74" t="s">
        <v>231</v>
      </c>
      <c r="F2" s="74" t="s">
        <v>347</v>
      </c>
      <c r="G2" s="74" t="s">
        <v>366</v>
      </c>
      <c r="H2" s="74" t="s">
        <v>392</v>
      </c>
      <c r="I2" s="74"/>
      <c r="J2" s="74" t="s">
        <v>2</v>
      </c>
      <c r="K2" s="74" t="s">
        <v>3</v>
      </c>
      <c r="L2" s="74" t="s">
        <v>4</v>
      </c>
      <c r="M2" s="74" t="s">
        <v>230</v>
      </c>
      <c r="N2" s="74" t="s">
        <v>331</v>
      </c>
      <c r="O2" s="74" t="s">
        <v>335</v>
      </c>
      <c r="P2" s="74" t="s">
        <v>342</v>
      </c>
      <c r="Q2" s="74" t="s">
        <v>346</v>
      </c>
      <c r="R2" s="290" t="s">
        <v>350</v>
      </c>
      <c r="S2" s="290" t="s">
        <v>355</v>
      </c>
      <c r="T2" s="290" t="s">
        <v>360</v>
      </c>
      <c r="U2" s="290" t="s">
        <v>365</v>
      </c>
      <c r="V2" s="290" t="s">
        <v>367</v>
      </c>
      <c r="W2" s="290" t="s">
        <v>380</v>
      </c>
      <c r="X2" s="290" t="s">
        <v>387</v>
      </c>
      <c r="Y2" s="290" t="s">
        <v>394</v>
      </c>
      <c r="Z2" s="290" t="s">
        <v>408</v>
      </c>
      <c r="AA2" s="290" t="s">
        <v>409</v>
      </c>
      <c r="AB2" s="290" t="s">
        <v>410</v>
      </c>
      <c r="AD2" s="290" t="s">
        <v>366</v>
      </c>
      <c r="AE2" s="290" t="s">
        <v>392</v>
      </c>
      <c r="AF2" s="290" t="s">
        <v>393</v>
      </c>
    </row>
    <row r="3" spans="1:32" s="24" customFormat="1" ht="9" customHeight="1">
      <c r="A3" s="9"/>
      <c r="D3" s="8"/>
      <c r="E3" s="17"/>
      <c r="F3" s="17"/>
      <c r="G3" s="17"/>
      <c r="H3" s="17"/>
      <c r="I3" s="17"/>
      <c r="J3" s="17"/>
      <c r="K3" s="17"/>
      <c r="L3" s="17"/>
      <c r="M3" s="17"/>
      <c r="N3" s="17"/>
      <c r="O3" s="17"/>
      <c r="P3" s="17"/>
      <c r="Q3" s="17"/>
      <c r="R3" s="17"/>
      <c r="S3" s="17"/>
      <c r="T3" s="17"/>
      <c r="U3" s="17"/>
      <c r="V3" s="17"/>
      <c r="W3" s="17"/>
      <c r="X3" s="17"/>
      <c r="Y3" s="17"/>
      <c r="Z3" s="125"/>
      <c r="AA3" s="133"/>
      <c r="AB3" s="17"/>
      <c r="AD3" s="17"/>
      <c r="AE3" s="125"/>
      <c r="AF3" s="133"/>
    </row>
    <row r="4" spans="1:32" s="24" customFormat="1" ht="14.25" customHeight="1">
      <c r="A4" s="47" t="s">
        <v>217</v>
      </c>
      <c r="D4" s="8"/>
      <c r="E4" s="17"/>
      <c r="F4" s="17"/>
      <c r="G4" s="17"/>
      <c r="H4" s="17"/>
      <c r="I4" s="17"/>
      <c r="J4" s="17"/>
      <c r="K4" s="17"/>
      <c r="L4" s="17"/>
      <c r="M4" s="17"/>
      <c r="N4" s="17"/>
      <c r="O4" s="17"/>
      <c r="P4" s="17"/>
      <c r="Q4" s="17"/>
      <c r="R4" s="17"/>
      <c r="S4" s="17"/>
      <c r="T4" s="17"/>
      <c r="U4" s="17"/>
      <c r="V4" s="17"/>
      <c r="W4" s="17"/>
      <c r="X4" s="17"/>
      <c r="Y4" s="17"/>
      <c r="Z4" s="125"/>
      <c r="AA4" s="133"/>
      <c r="AB4" s="17"/>
      <c r="AD4" s="17"/>
      <c r="AE4" s="365"/>
      <c r="AF4" s="133"/>
    </row>
    <row r="5" spans="2:32" s="18" customFormat="1" ht="15">
      <c r="B5" s="18" t="s">
        <v>199</v>
      </c>
      <c r="D5" s="17">
        <v>29413</v>
      </c>
      <c r="E5" s="17">
        <v>33921</v>
      </c>
      <c r="F5" s="17">
        <v>29141</v>
      </c>
      <c r="G5" s="17">
        <v>31712</v>
      </c>
      <c r="H5" s="17">
        <v>35832</v>
      </c>
      <c r="I5" s="17"/>
      <c r="J5" s="17">
        <v>30954</v>
      </c>
      <c r="K5" s="17">
        <v>33125</v>
      </c>
      <c r="L5" s="17">
        <v>31314</v>
      </c>
      <c r="M5" s="17">
        <v>33921</v>
      </c>
      <c r="N5" s="17">
        <v>27752</v>
      </c>
      <c r="O5" s="17">
        <v>31505</v>
      </c>
      <c r="P5" s="17">
        <v>29436</v>
      </c>
      <c r="Q5" s="17">
        <v>29141</v>
      </c>
      <c r="R5" s="17">
        <v>29734</v>
      </c>
      <c r="S5" s="17">
        <v>31448</v>
      </c>
      <c r="T5" s="17">
        <v>30364</v>
      </c>
      <c r="U5" s="17">
        <v>31711</v>
      </c>
      <c r="V5" s="17">
        <v>34619</v>
      </c>
      <c r="W5" s="17">
        <v>34955</v>
      </c>
      <c r="X5" s="17">
        <v>33940</v>
      </c>
      <c r="Y5" s="17">
        <v>35832</v>
      </c>
      <c r="Z5" s="125">
        <f>SUM(Z6:Z9)</f>
        <v>38696</v>
      </c>
      <c r="AA5" s="133">
        <f>IF(AND(Z5=0,Y5=0),0,IF(OR(AND(Z5&gt;0,Y5&lt;=0),AND(Z5&lt;0,Y5&gt;=0)),"nm",IF(AND(Z5&lt;0,Y5&lt;0),IF(-(Z5/Y5-1)*100&lt;-100,"(&gt;100)",-(Z5/Y5-1)*100),IF((Z5/Y5-1)*100&gt;100,"&gt;100",(Z5/Y5-1)*100))))</f>
        <v>7.99285554811342</v>
      </c>
      <c r="AB5" s="133">
        <f>IF(AND(Z5=0,V5=0),0,IF(OR(AND(Z5&gt;0,V5&lt;=0),AND(Z5&lt;0,V5&gt;=0)),"nm",IF(AND(Z5&lt;0,V5&lt;0),IF(-(Z5/V5-1)*100&lt;-100,"(&gt;100)",-(Z5/V5-1)*100),IF((Z5/V5-1)*100&gt;100,"&gt;100",(Z5/V5-1)*100))))</f>
        <v>11.776769981801905</v>
      </c>
      <c r="AC5" s="15"/>
      <c r="AD5" s="17">
        <v>31711</v>
      </c>
      <c r="AE5" s="125">
        <f>SUM(AE6:AE9)</f>
        <v>35832</v>
      </c>
      <c r="AF5" s="139">
        <f>IF(AND(AE5=0,AD5=0),0,IF(OR(AND(AE5&gt;0,AD5&lt;=0),AND(AE5&lt;0,AD5&gt;=0)),"nm",IF(AND(AE5&lt;0,AD5&lt;0),IF(-(AE5/AD5-1)*100&lt;-100,"(&gt;100)",-(AE5/AD5-1)*100),IF((AE5/AD5-1)*100&gt;100,"&gt;100",(AE5/AD5-1)*100))))</f>
        <v>12.995490523793007</v>
      </c>
    </row>
    <row r="6" spans="3:34" ht="15">
      <c r="C6" s="36" t="s">
        <v>136</v>
      </c>
      <c r="D6" s="75">
        <v>11734</v>
      </c>
      <c r="E6" s="75">
        <v>13245</v>
      </c>
      <c r="F6" s="75">
        <v>9731</v>
      </c>
      <c r="G6" s="121">
        <v>10465</v>
      </c>
      <c r="H6" s="121">
        <v>9818</v>
      </c>
      <c r="J6" s="75">
        <v>11180</v>
      </c>
      <c r="K6" s="75">
        <v>12805</v>
      </c>
      <c r="L6" s="75">
        <v>11964</v>
      </c>
      <c r="M6" s="75">
        <v>13245</v>
      </c>
      <c r="N6" s="75">
        <v>9461</v>
      </c>
      <c r="O6" s="75">
        <v>10087</v>
      </c>
      <c r="P6" s="75">
        <v>10108</v>
      </c>
      <c r="Q6" s="75">
        <v>9731</v>
      </c>
      <c r="R6" s="75">
        <v>10308</v>
      </c>
      <c r="S6" s="75">
        <v>11371</v>
      </c>
      <c r="T6" s="75">
        <v>10745</v>
      </c>
      <c r="U6" s="75">
        <v>10464</v>
      </c>
      <c r="V6" s="121">
        <v>10733</v>
      </c>
      <c r="W6" s="121">
        <v>9952</v>
      </c>
      <c r="X6" s="121">
        <v>10007</v>
      </c>
      <c r="Y6" s="121">
        <v>9818</v>
      </c>
      <c r="Z6" s="122">
        <v>10280</v>
      </c>
      <c r="AA6" s="139">
        <f>IF(AND(Z6=0,Y6=0),0,IF(OR(AND(Z6&gt;0,Y6&lt;=0),AND(Z6&lt;0,Y6&gt;=0)),"nm",IF(AND(Z6&lt;0,Y6&lt;0),IF(-(Z6/Y6-1)*100&lt;-100,"(&gt;100)",-(Z6/Y6-1)*100),IF((Z6/Y6-1)*100&gt;100,"&gt;100",(Z6/Y6-1)*100))))</f>
        <v>4.705642697086976</v>
      </c>
      <c r="AB6" s="139">
        <f>IF(AND(Z6=0,V6=0),0,IF(OR(AND(Z6&gt;0,V6&lt;=0),AND(Z6&lt;0,V6&gt;=0)),"nm",IF(AND(Z6&lt;0,V6&lt;0),IF(-(Z6/V6-1)*100&lt;-100,"(&gt;100)",-(Z6/V6-1)*100),IF((Z6/V6-1)*100&gt;100,"&gt;100",(Z6/V6-1)*100))))</f>
        <v>-4.220627969812729</v>
      </c>
      <c r="AC6" s="19"/>
      <c r="AD6" s="121">
        <v>10464</v>
      </c>
      <c r="AE6" s="122">
        <v>9818</v>
      </c>
      <c r="AF6" s="139">
        <f>IF(AND(AE6=0,AD6=0),0,IF(OR(AND(AE6&gt;0,AD6&lt;=0),AND(AE6&lt;0,AD6&gt;=0)),"nm",IF(AND(AE6&lt;0,AD6&lt;0),IF(-(AE6/AD6-1)*100&lt;-100,"(&gt;100)",-(AE6/AD6-1)*100),IF((AE6/AD6-1)*100&gt;100,"&gt;100",(AE6/AD6-1)*100))))</f>
        <v>-6.173547400611623</v>
      </c>
      <c r="AG6" s="20"/>
      <c r="AH6" s="18"/>
    </row>
    <row r="7" spans="3:34" ht="15">
      <c r="C7" s="36" t="s">
        <v>137</v>
      </c>
      <c r="D7" s="75">
        <v>4549</v>
      </c>
      <c r="E7" s="75">
        <v>7539</v>
      </c>
      <c r="F7" s="75">
        <v>8345</v>
      </c>
      <c r="G7" s="121">
        <v>9616</v>
      </c>
      <c r="H7" s="121">
        <v>15927</v>
      </c>
      <c r="J7" s="75">
        <v>6343</v>
      </c>
      <c r="K7" s="75">
        <v>6650</v>
      </c>
      <c r="L7" s="75">
        <v>5863</v>
      </c>
      <c r="M7" s="75">
        <v>7539</v>
      </c>
      <c r="N7" s="75">
        <v>7160</v>
      </c>
      <c r="O7" s="75">
        <v>10351</v>
      </c>
      <c r="P7" s="75">
        <v>7411</v>
      </c>
      <c r="Q7" s="75">
        <v>8345</v>
      </c>
      <c r="R7" s="75">
        <v>8061</v>
      </c>
      <c r="S7" s="75">
        <v>8530</v>
      </c>
      <c r="T7" s="75">
        <v>7945</v>
      </c>
      <c r="U7" s="75">
        <v>9616</v>
      </c>
      <c r="V7" s="121">
        <v>11858</v>
      </c>
      <c r="W7" s="121">
        <v>12615</v>
      </c>
      <c r="X7" s="121">
        <v>12175</v>
      </c>
      <c r="Y7" s="121">
        <v>15927</v>
      </c>
      <c r="Z7" s="122">
        <v>16690</v>
      </c>
      <c r="AA7" s="139">
        <f>IF(AND(Z7=0,Y7=0),0,IF(OR(AND(Z7&gt;0,Y7&lt;=0),AND(Z7&lt;0,Y7&gt;=0)),"nm",IF(AND(Z7&lt;0,Y7&lt;0),IF(-(Z7/Y7-1)*100&lt;-100,"(&gt;100)",-(Z7/Y7-1)*100),IF((Z7/Y7-1)*100&gt;100,"&gt;100",(Z7/Y7-1)*100))))</f>
        <v>4.7906071450995125</v>
      </c>
      <c r="AB7" s="139">
        <f>IF(AND(Z7=0,V7=0),0,IF(OR(AND(Z7&gt;0,V7&lt;=0),AND(Z7&lt;0,V7&gt;=0)),"nm",IF(AND(Z7&lt;0,V7&lt;0),IF(-(Z7/V7-1)*100&lt;-100,"(&gt;100)",-(Z7/V7-1)*100),IF((Z7/V7-1)*100&gt;100,"&gt;100",(Z7/V7-1)*100))))</f>
        <v>40.7488615280823</v>
      </c>
      <c r="AC7" s="19"/>
      <c r="AD7" s="121">
        <v>9616</v>
      </c>
      <c r="AE7" s="122">
        <v>15927</v>
      </c>
      <c r="AF7" s="139">
        <f>IF(AND(AE7=0,AD7=0),0,IF(OR(AND(AE7&gt;0,AD7&lt;=0),AND(AE7&lt;0,AD7&gt;=0)),"nm",IF(AND(AE7&lt;0,AD7&lt;0),IF(-(AE7/AD7-1)*100&lt;-100,"(&gt;100)",-(AE7/AD7-1)*100),IF((AE7/AD7-1)*100&gt;100,"&gt;100",(AE7/AD7-1)*100))))</f>
        <v>65.6301996672213</v>
      </c>
      <c r="AG7" s="20"/>
      <c r="AH7" s="18"/>
    </row>
    <row r="8" spans="3:34" ht="15">
      <c r="C8" s="36" t="s">
        <v>138</v>
      </c>
      <c r="D8" s="75">
        <v>11986</v>
      </c>
      <c r="E8" s="75">
        <v>12121</v>
      </c>
      <c r="F8" s="75">
        <v>9922</v>
      </c>
      <c r="G8" s="121">
        <v>10474</v>
      </c>
      <c r="H8" s="121">
        <v>8988</v>
      </c>
      <c r="J8" s="75">
        <v>12350</v>
      </c>
      <c r="K8" s="75">
        <v>12805</v>
      </c>
      <c r="L8" s="75">
        <v>12569</v>
      </c>
      <c r="M8" s="75">
        <v>12121</v>
      </c>
      <c r="N8" s="75">
        <v>10081</v>
      </c>
      <c r="O8" s="75">
        <v>10027</v>
      </c>
      <c r="P8" s="75">
        <v>10727</v>
      </c>
      <c r="Q8" s="75">
        <v>9922</v>
      </c>
      <c r="R8" s="75">
        <v>10261</v>
      </c>
      <c r="S8" s="75">
        <v>10524</v>
      </c>
      <c r="T8" s="75">
        <v>10533</v>
      </c>
      <c r="U8" s="75">
        <v>10474</v>
      </c>
      <c r="V8" s="121">
        <v>10853</v>
      </c>
      <c r="W8" s="121">
        <v>11240</v>
      </c>
      <c r="X8" s="121">
        <v>10651</v>
      </c>
      <c r="Y8" s="121">
        <v>8988</v>
      </c>
      <c r="Z8" s="122">
        <v>10365</v>
      </c>
      <c r="AA8" s="139">
        <f>IF(AND(Z8=0,Y8=0),0,IF(OR(AND(Z8&gt;0,Y8&lt;=0),AND(Z8&lt;0,Y8&gt;=0)),"nm",IF(AND(Z8&lt;0,Y8&lt;0),IF(-(Z8/Y8-1)*100&lt;-100,"(&gt;100)",-(Z8/Y8-1)*100),IF((Z8/Y8-1)*100&gt;100,"&gt;100",(Z8/Y8-1)*100))))</f>
        <v>15.320427236315082</v>
      </c>
      <c r="AB8" s="139">
        <f>IF(AND(Z8=0,V8=0),0,IF(OR(AND(Z8&gt;0,V8&lt;=0),AND(Z8&lt;0,V8&gt;=0)),"nm",IF(AND(Z8&lt;0,V8&lt;0),IF(-(Z8/V8-1)*100&lt;-100,"(&gt;100)",-(Z8/V8-1)*100),IF((Z8/V8-1)*100&gt;100,"&gt;100",(Z8/V8-1)*100))))</f>
        <v>-4.496452593752876</v>
      </c>
      <c r="AC8" s="19"/>
      <c r="AD8" s="121">
        <v>10474</v>
      </c>
      <c r="AE8" s="122">
        <v>8988</v>
      </c>
      <c r="AF8" s="139">
        <f>IF(AND(AE8=0,AD8=0),0,IF(OR(AND(AE8&gt;0,AD8&lt;=0),AND(AE8&lt;0,AD8&gt;=0)),"nm",IF(AND(AE8&lt;0,AD8&lt;0),IF(-(AE8/AD8-1)*100&lt;-100,"(&gt;100)",-(AE8/AD8-1)*100),IF((AE8/AD8-1)*100&gt;100,"&gt;100",(AE8/AD8-1)*100))))</f>
        <v>-14.187511934313534</v>
      </c>
      <c r="AG8" s="20"/>
      <c r="AH8" s="18"/>
    </row>
    <row r="9" spans="2:34" ht="15">
      <c r="B9" s="31"/>
      <c r="C9" s="36" t="s">
        <v>139</v>
      </c>
      <c r="D9" s="75">
        <v>1144</v>
      </c>
      <c r="E9" s="75">
        <v>1016</v>
      </c>
      <c r="F9" s="75">
        <v>1143</v>
      </c>
      <c r="G9" s="121">
        <v>1157</v>
      </c>
      <c r="H9" s="121">
        <v>1099</v>
      </c>
      <c r="J9" s="75">
        <v>1081</v>
      </c>
      <c r="K9" s="75">
        <v>865</v>
      </c>
      <c r="L9" s="75">
        <v>918</v>
      </c>
      <c r="M9" s="75">
        <v>1016</v>
      </c>
      <c r="N9" s="75">
        <v>1050</v>
      </c>
      <c r="O9" s="75">
        <v>1040</v>
      </c>
      <c r="P9" s="75">
        <v>1190</v>
      </c>
      <c r="Q9" s="75">
        <v>1143</v>
      </c>
      <c r="R9" s="75">
        <v>1104</v>
      </c>
      <c r="S9" s="75">
        <v>1023</v>
      </c>
      <c r="T9" s="75">
        <v>1141</v>
      </c>
      <c r="U9" s="75">
        <v>1157</v>
      </c>
      <c r="V9" s="121">
        <v>1175</v>
      </c>
      <c r="W9" s="121">
        <v>1148</v>
      </c>
      <c r="X9" s="121">
        <v>1107</v>
      </c>
      <c r="Y9" s="121">
        <v>1099</v>
      </c>
      <c r="Z9" s="122">
        <v>1361</v>
      </c>
      <c r="AA9" s="139">
        <f>IF(AND(Z9=0,Y9=0),0,IF(OR(AND(Z9&gt;0,Y9&lt;=0),AND(Z9&lt;0,Y9&gt;=0)),"nm",IF(AND(Z9&lt;0,Y9&lt;0),IF(-(Z9/Y9-1)*100&lt;-100,"(&gt;100)",-(Z9/Y9-1)*100),IF((Z9/Y9-1)*100&gt;100,"&gt;100",(Z9/Y9-1)*100))))</f>
        <v>23.839854413102813</v>
      </c>
      <c r="AB9" s="139">
        <f>IF(AND(Z9=0,V9=0),0,IF(OR(AND(Z9&gt;0,V9&lt;=0),AND(Z9&lt;0,V9&gt;=0)),"nm",IF(AND(Z9&lt;0,V9&lt;0),IF(-(Z9/V9-1)*100&lt;-100,"(&gt;100)",-(Z9/V9-1)*100),IF((Z9/V9-1)*100&gt;100,"&gt;100",(Z9/V9-1)*100))))</f>
        <v>15.82978723404256</v>
      </c>
      <c r="AC9" s="19"/>
      <c r="AD9" s="121">
        <v>1157</v>
      </c>
      <c r="AE9" s="122">
        <v>1099</v>
      </c>
      <c r="AF9" s="139">
        <f>IF(AND(AE9=0,AD9=0),0,IF(OR(AND(AE9&gt;0,AD9&lt;=0),AND(AE9&lt;0,AD9&gt;=0)),"nm",IF(AND(AE9&lt;0,AD9&lt;0),IF(-(AE9/AD9-1)*100&lt;-100,"(&gt;100)",-(AE9/AD9-1)*100),IF((AE9/AD9-1)*100&gt;100,"&gt;100",(AE9/AD9-1)*100))))</f>
        <v>-5.012964563526356</v>
      </c>
      <c r="AG9" s="20"/>
      <c r="AH9" s="18"/>
    </row>
    <row r="10" spans="3:34" ht="14.25">
      <c r="C10" s="22"/>
      <c r="D10" s="75"/>
      <c r="Z10" s="122"/>
      <c r="AA10" s="139"/>
      <c r="AB10" s="121"/>
      <c r="AC10" s="19"/>
      <c r="AD10" s="121"/>
      <c r="AE10" s="142"/>
      <c r="AF10" s="139"/>
      <c r="AG10" s="20"/>
      <c r="AH10" s="20"/>
    </row>
    <row r="11" spans="1:33" ht="15">
      <c r="A11" s="88" t="s">
        <v>142</v>
      </c>
      <c r="C11" s="22"/>
      <c r="D11" s="75"/>
      <c r="Z11" s="142"/>
      <c r="AA11" s="139"/>
      <c r="AB11" s="121"/>
      <c r="AC11" s="19"/>
      <c r="AD11" s="121"/>
      <c r="AE11" s="142"/>
      <c r="AF11" s="139"/>
      <c r="AG11" s="20"/>
    </row>
    <row r="12" spans="2:32" s="18" customFormat="1" ht="15">
      <c r="B12" s="18" t="s">
        <v>324</v>
      </c>
      <c r="D12" s="17">
        <v>901</v>
      </c>
      <c r="E12" s="17">
        <f>D17</f>
        <v>-388</v>
      </c>
      <c r="F12" s="17">
        <v>132</v>
      </c>
      <c r="G12" s="17">
        <v>387</v>
      </c>
      <c r="H12" s="17">
        <v>411</v>
      </c>
      <c r="I12" s="17"/>
      <c r="J12" s="17">
        <v>-388</v>
      </c>
      <c r="K12" s="17">
        <v>-846</v>
      </c>
      <c r="L12" s="17">
        <v>-310</v>
      </c>
      <c r="M12" s="17">
        <v>146</v>
      </c>
      <c r="N12" s="17">
        <v>132</v>
      </c>
      <c r="O12" s="17">
        <v>363</v>
      </c>
      <c r="P12" s="17">
        <v>530</v>
      </c>
      <c r="Q12" s="17">
        <v>842</v>
      </c>
      <c r="R12" s="17">
        <v>387</v>
      </c>
      <c r="S12" s="17">
        <v>416</v>
      </c>
      <c r="T12" s="17">
        <v>438</v>
      </c>
      <c r="U12" s="17">
        <v>596</v>
      </c>
      <c r="V12" s="17">
        <v>411</v>
      </c>
      <c r="W12" s="17">
        <v>446</v>
      </c>
      <c r="X12" s="17">
        <v>519</v>
      </c>
      <c r="Y12" s="17">
        <v>624</v>
      </c>
      <c r="Z12" s="125">
        <v>634</v>
      </c>
      <c r="AA12" s="133">
        <f aca="true" t="shared" si="0" ref="AA12:AA17">IF(AND(Z12=0,Y12=0),0,IF(OR(AND(Z12&gt;0,Y12&lt;=0),AND(Z12&lt;0,Y12&gt;=0)),"nm",IF(AND(Z12&lt;0,Y12&lt;0),IF(-(Z12/Y12-1)*100&lt;-100,"(&gt;100)",-(Z12/Y12-1)*100),IF((Z12/Y12-1)*100&gt;100,"&gt;100",(Z12/Y12-1)*100))))</f>
        <v>1.6025641025640969</v>
      </c>
      <c r="AB12" s="133">
        <f aca="true" t="shared" si="1" ref="AB12:AB17">IF(AND(Z12=0,V12=0),0,IF(OR(AND(Z12&gt;0,V12&lt;=0),AND(Z12&lt;0,V12&gt;=0)),"nm",IF(AND(Z12&lt;0,V12&lt;0),IF(-(Z12/V12-1)*100&lt;-100,"(&gt;100)",-(Z12/V12-1)*100),IF((Z12/V12-1)*100&gt;100,"&gt;100",(Z12/V12-1)*100))))</f>
        <v>54.25790754257906</v>
      </c>
      <c r="AC12" s="15"/>
      <c r="AD12" s="17">
        <v>387</v>
      </c>
      <c r="AE12" s="125">
        <f>U17</f>
        <v>411</v>
      </c>
      <c r="AF12" s="133">
        <f aca="true" t="shared" si="2" ref="AF12:AF17">IF(AND(AE12=0,AD12=0),0,IF(OR(AND(AE12&gt;0,AD12&lt;=0),AND(AE12&lt;0,AD12&gt;=0)),"nm",IF(AND(AE12&lt;0,AD12&lt;0),IF(-(AE12/AD12-1)*100&lt;-100,"(&gt;100)",-(AE12/AD12-1)*100),IF((AE12/AD12-1)*100&gt;100,"&gt;100",(AE12/AD12-1)*100))))</f>
        <v>6.20155038759691</v>
      </c>
    </row>
    <row r="13" spans="3:32" ht="14.25">
      <c r="C13" s="22" t="s">
        <v>325</v>
      </c>
      <c r="D13" s="75">
        <v>-1217</v>
      </c>
      <c r="E13" s="75">
        <v>932</v>
      </c>
      <c r="F13" s="75">
        <v>598</v>
      </c>
      <c r="G13" s="121">
        <v>416</v>
      </c>
      <c r="H13" s="121">
        <v>613</v>
      </c>
      <c r="J13" s="75">
        <v>-392</v>
      </c>
      <c r="K13" s="75">
        <v>752</v>
      </c>
      <c r="L13" s="75">
        <v>540</v>
      </c>
      <c r="M13" s="75">
        <v>32</v>
      </c>
      <c r="N13" s="75">
        <v>336</v>
      </c>
      <c r="O13" s="75">
        <v>227</v>
      </c>
      <c r="P13" s="75">
        <v>474</v>
      </c>
      <c r="Q13" s="75">
        <v>-439</v>
      </c>
      <c r="R13" s="75">
        <v>92</v>
      </c>
      <c r="S13" s="75">
        <v>98</v>
      </c>
      <c r="T13" s="75">
        <v>296</v>
      </c>
      <c r="U13" s="75">
        <v>-70</v>
      </c>
      <c r="V13" s="75">
        <v>139</v>
      </c>
      <c r="W13" s="75">
        <v>158</v>
      </c>
      <c r="X13" s="75">
        <v>202</v>
      </c>
      <c r="Y13" s="75">
        <v>114</v>
      </c>
      <c r="Z13" s="122">
        <v>54</v>
      </c>
      <c r="AA13" s="132">
        <f t="shared" si="0"/>
        <v>-52.63157894736843</v>
      </c>
      <c r="AB13" s="139">
        <f t="shared" si="1"/>
        <v>-61.15107913669065</v>
      </c>
      <c r="AD13" s="75">
        <v>416</v>
      </c>
      <c r="AE13" s="122">
        <f>'24.P&amp;L'!J52</f>
        <v>613</v>
      </c>
      <c r="AF13" s="139">
        <f t="shared" si="2"/>
        <v>47.355769230769226</v>
      </c>
    </row>
    <row r="14" spans="3:32" ht="14.25">
      <c r="C14" s="22" t="s">
        <v>379</v>
      </c>
      <c r="D14" s="75">
        <v>-328</v>
      </c>
      <c r="E14" s="75">
        <v>-312</v>
      </c>
      <c r="F14" s="75">
        <v>-315</v>
      </c>
      <c r="G14" s="121">
        <v>0</v>
      </c>
      <c r="H14" s="121">
        <v>-345</v>
      </c>
      <c r="J14" s="75">
        <v>-112</v>
      </c>
      <c r="K14" s="75">
        <v>-140</v>
      </c>
      <c r="L14" s="75">
        <v>-29</v>
      </c>
      <c r="M14" s="75">
        <v>-31</v>
      </c>
      <c r="N14" s="75">
        <v>-83</v>
      </c>
      <c r="O14" s="75">
        <v>-59</v>
      </c>
      <c r="P14" s="75">
        <v>-131</v>
      </c>
      <c r="Q14" s="75">
        <v>-42</v>
      </c>
      <c r="R14" s="75">
        <v>-66</v>
      </c>
      <c r="S14" s="75">
        <v>-78</v>
      </c>
      <c r="T14" s="75">
        <v>-158</v>
      </c>
      <c r="U14" s="75">
        <v>-123</v>
      </c>
      <c r="V14" s="75">
        <v>-95</v>
      </c>
      <c r="W14" s="75">
        <v>-64</v>
      </c>
      <c r="X14" s="75">
        <v>-88</v>
      </c>
      <c r="Y14" s="75">
        <v>-98</v>
      </c>
      <c r="Z14" s="122">
        <v>-55</v>
      </c>
      <c r="AA14" s="132">
        <f t="shared" si="0"/>
        <v>43.87755102040817</v>
      </c>
      <c r="AB14" s="139">
        <f>IF(AND(Z14=0,V14=0),0,IF(OR(AND(Z14&gt;0,V14&lt;=0),AND(Z14&lt;0,V14&gt;=0)),"nm",IF(AND(Z14&lt;0,V14&lt;0),IF(-(Z14/V14-1)*100&lt;-100,"(&gt;100)",-(Z14/V14-1)*100),IF((Z14/V14-1)*100&gt;100,"&gt;100",(Z14/V14-1)*100))))</f>
        <v>42.10526315789473</v>
      </c>
      <c r="AD14" s="75">
        <v>0</v>
      </c>
      <c r="AE14" s="122">
        <f>'24.P&amp;L'!J53</f>
        <v>-345</v>
      </c>
      <c r="AF14" s="139" t="str">
        <f>IF(AND(AE14=0,AD14=0),0,IF(OR(AND(AE14&gt;0,AD14&lt;=0),AND(AE14&lt;0,AD14&gt;=0)),"nm",IF(AND(AE14&lt;0,AD14&lt;0),IF(-(AE14/AD14-1)*100&lt;-100,"(&gt;100)",-(AE14/AD14-1)*100),IF((AE14/AD14-1)*100&gt;100,"&gt;100",(AE14/AD14-1)*100))))</f>
        <v>nm</v>
      </c>
    </row>
    <row r="15" spans="3:32" ht="14.25">
      <c r="C15" s="22" t="s">
        <v>254</v>
      </c>
      <c r="D15" s="75">
        <v>256</v>
      </c>
      <c r="E15" s="75">
        <v>-100</v>
      </c>
      <c r="F15" s="75">
        <v>-28</v>
      </c>
      <c r="G15" s="121">
        <v>-425</v>
      </c>
      <c r="H15" s="121">
        <v>-42</v>
      </c>
      <c r="J15" s="75">
        <v>46</v>
      </c>
      <c r="K15" s="75">
        <v>-76</v>
      </c>
      <c r="L15" s="75">
        <v>-55</v>
      </c>
      <c r="M15" s="75">
        <v>-15</v>
      </c>
      <c r="N15" s="75">
        <v>-22</v>
      </c>
      <c r="O15" s="75">
        <v>-1</v>
      </c>
      <c r="P15" s="75">
        <v>-31</v>
      </c>
      <c r="Q15" s="75">
        <v>26</v>
      </c>
      <c r="R15" s="75">
        <v>3</v>
      </c>
      <c r="S15" s="75">
        <v>2</v>
      </c>
      <c r="T15" s="75">
        <v>20</v>
      </c>
      <c r="U15" s="75">
        <v>4</v>
      </c>
      <c r="V15" s="121">
        <v>-14</v>
      </c>
      <c r="W15" s="121">
        <v>-4</v>
      </c>
      <c r="X15" s="121">
        <v>-16</v>
      </c>
      <c r="Y15" s="121">
        <v>-8</v>
      </c>
      <c r="Z15" s="122">
        <v>-9</v>
      </c>
      <c r="AA15" s="132">
        <f>IF(AND(Z15=0,Y15=0),0,IF(OR(AND(Z15&gt;0,Y15&lt;=0),AND(Z15&lt;0,Y15&gt;=0)),"nm",IF(AND(Z15&lt;0,Y15&lt;0),IF(-(Z15/Y15-1)*100&lt;-100,"(&gt;100)",-(Z15/Y15-1)*100),IF((Z15/Y15-1)*100&gt;100,"&gt;100",(Z15/Y15-1)*100))))</f>
        <v>-12.5</v>
      </c>
      <c r="AB15" s="139">
        <f t="shared" si="1"/>
        <v>35.71428571428571</v>
      </c>
      <c r="AD15" s="75">
        <v>-425</v>
      </c>
      <c r="AE15" s="122">
        <f>'24.P&amp;L'!J54</f>
        <v>-42</v>
      </c>
      <c r="AF15" s="139">
        <f>IF(AND(AE15=0,AD15=0),0,IF(OR(AND(AE15&gt;0,AD15&lt;=0),AND(AE15&lt;0,AD15&gt;=0)),"nm",IF(AND(AE15&lt;0,AD15&lt;0),IF(-(AE15/AD15-1)*100&lt;-100,"(&gt;100)",-(AE15/AD15-1)*100),IF((AE15/AD15-1)*100&gt;100,"&gt;100",(AE15/AD15-1)*100))))</f>
        <v>90.11764705882352</v>
      </c>
    </row>
    <row r="16" spans="3:32" ht="14.25">
      <c r="C16" s="22" t="s">
        <v>377</v>
      </c>
      <c r="D16" s="75"/>
      <c r="G16" s="121">
        <v>29</v>
      </c>
      <c r="H16" s="121">
        <v>-3</v>
      </c>
      <c r="U16" s="75">
        <v>4</v>
      </c>
      <c r="V16" s="121">
        <v>5</v>
      </c>
      <c r="W16" s="121">
        <v>-17</v>
      </c>
      <c r="X16" s="121">
        <v>7</v>
      </c>
      <c r="Y16" s="121">
        <v>2</v>
      </c>
      <c r="Z16" s="122">
        <v>-1</v>
      </c>
      <c r="AA16" s="132" t="str">
        <f t="shared" si="0"/>
        <v>nm</v>
      </c>
      <c r="AB16" s="139" t="str">
        <f t="shared" si="1"/>
        <v>nm</v>
      </c>
      <c r="AD16" s="75">
        <v>4</v>
      </c>
      <c r="AE16" s="122">
        <v>-3</v>
      </c>
      <c r="AF16" s="139" t="str">
        <f>IF(AND(AE16=0,AD16=0),0,IF(OR(AND(AE16&gt;0,AD16&lt;=0),AND(AE16&lt;0,AD16&gt;=0)),"nm",IF(AND(AE16&lt;0,AD16&lt;0),IF(-(AE16/AD16-1)*100&lt;-100,"(&gt;100)",-(AE16/AD16-1)*100),IF((AE16/AD16-1)*100&gt;100,"&gt;100",(AE16/AD16-1)*100))))</f>
        <v>nm</v>
      </c>
    </row>
    <row r="17" spans="2:32" s="18" customFormat="1" ht="15">
      <c r="B17" s="18" t="s">
        <v>134</v>
      </c>
      <c r="D17" s="17">
        <v>-388</v>
      </c>
      <c r="E17" s="17">
        <f>SUM(E12:E15)</f>
        <v>132</v>
      </c>
      <c r="F17" s="17">
        <v>387</v>
      </c>
      <c r="G17" s="17">
        <v>407</v>
      </c>
      <c r="H17" s="17">
        <v>634</v>
      </c>
      <c r="I17" s="17"/>
      <c r="J17" s="17">
        <v>-846</v>
      </c>
      <c r="K17" s="17">
        <v>-310</v>
      </c>
      <c r="L17" s="17">
        <v>146</v>
      </c>
      <c r="M17" s="17">
        <v>132</v>
      </c>
      <c r="N17" s="17">
        <v>363</v>
      </c>
      <c r="O17" s="17">
        <v>530</v>
      </c>
      <c r="P17" s="17">
        <v>842</v>
      </c>
      <c r="Q17" s="17">
        <v>387</v>
      </c>
      <c r="R17" s="17">
        <v>416</v>
      </c>
      <c r="S17" s="17">
        <v>438</v>
      </c>
      <c r="T17" s="162">
        <v>596</v>
      </c>
      <c r="U17" s="162">
        <f>SUM(U12:U16)</f>
        <v>411</v>
      </c>
      <c r="V17" s="17">
        <v>446</v>
      </c>
      <c r="W17" s="17">
        <v>519</v>
      </c>
      <c r="X17" s="17">
        <v>624</v>
      </c>
      <c r="Y17" s="17">
        <v>634</v>
      </c>
      <c r="Z17" s="125">
        <f>SUM(Z12:Z16)</f>
        <v>623</v>
      </c>
      <c r="AA17" s="133">
        <f t="shared" si="0"/>
        <v>-1.7350157728706628</v>
      </c>
      <c r="AB17" s="133">
        <f t="shared" si="1"/>
        <v>39.686098654708516</v>
      </c>
      <c r="AC17" s="15"/>
      <c r="AD17" s="17">
        <v>411</v>
      </c>
      <c r="AE17" s="125">
        <f>SUM(AE12:AE16)</f>
        <v>634</v>
      </c>
      <c r="AF17" s="139">
        <f t="shared" si="2"/>
        <v>54.25790754257906</v>
      </c>
    </row>
    <row r="18" spans="26:32" ht="14.25">
      <c r="Z18" s="122"/>
      <c r="AD18" s="171"/>
      <c r="AE18" s="142"/>
      <c r="AF18" s="139"/>
    </row>
    <row r="19" spans="2:32" ht="15">
      <c r="B19" s="18" t="s">
        <v>361</v>
      </c>
      <c r="C19" s="18"/>
      <c r="G19" s="17">
        <v>0</v>
      </c>
      <c r="H19" s="17">
        <v>-16</v>
      </c>
      <c r="Q19" s="75">
        <v>0</v>
      </c>
      <c r="R19" s="75">
        <v>0</v>
      </c>
      <c r="S19" s="75">
        <v>0</v>
      </c>
      <c r="T19" s="75">
        <v>0</v>
      </c>
      <c r="U19" s="75">
        <v>-11</v>
      </c>
      <c r="V19" s="75">
        <v>-16</v>
      </c>
      <c r="W19" s="75">
        <v>3</v>
      </c>
      <c r="X19" s="75">
        <v>0</v>
      </c>
      <c r="Y19" s="75">
        <v>3</v>
      </c>
      <c r="Z19" s="122">
        <v>-1</v>
      </c>
      <c r="AA19" s="133" t="str">
        <f>IF(AND(Z19=0,Y19=0),0,IF(OR(AND(Z19&gt;0,Y19&lt;=0),AND(Z19&lt;0,Y19&gt;=0)),"nm",IF(AND(Z19&lt;0,Y19&lt;0),IF(-(Z19/Y19-1)*100&lt;-100,"(&gt;100)",-(Z19/Y19-1)*100),IF((Z19/Y19-1)*100&gt;100,"&gt;100",(Z19/Y19-1)*100))))</f>
        <v>nm</v>
      </c>
      <c r="AB19" s="133">
        <f>IF(AND(Z19=0,V19=0),0,IF(OR(AND(Z19&gt;0,V19&lt;=0),AND(Z19&lt;0,V19&gt;=0)),"nm",IF(AND(Z19&lt;0,V19&lt;0),IF(-(Z19/V19-1)*100&lt;-100,"(&gt;100)",-(Z19/V19-1)*100),IF((Z19/V19-1)*100&gt;100,"&gt;100",(Z19/V19-1)*100))))</f>
        <v>93.75</v>
      </c>
      <c r="AD19" s="17">
        <v>0</v>
      </c>
      <c r="AE19" s="125">
        <f>U23</f>
        <v>-16</v>
      </c>
      <c r="AF19" s="139" t="str">
        <f>IF(AND(AE19=0,AD19=0),0,IF(OR(AND(AE19&gt;0,AD19&lt;=0),AND(AE19&lt;0,AD19&gt;=0)),"nm",IF(AND(AE19&lt;0,AD19&lt;0),IF(-(AE19/AD19-1)*100&lt;-100,"(&gt;100)",-(AE19/AD19-1)*100),IF((AE19/AD19-1)*100&gt;100,"&gt;100",(AE19/AD19-1)*100))))</f>
        <v>nm</v>
      </c>
    </row>
    <row r="20" spans="3:32" ht="14.25">
      <c r="C20" s="22" t="s">
        <v>325</v>
      </c>
      <c r="G20" s="121">
        <v>-18</v>
      </c>
      <c r="H20" s="121">
        <v>9</v>
      </c>
      <c r="Q20" s="75">
        <v>0</v>
      </c>
      <c r="R20" s="75">
        <v>0</v>
      </c>
      <c r="S20" s="75">
        <v>0</v>
      </c>
      <c r="T20" s="75">
        <v>-12</v>
      </c>
      <c r="U20" s="75">
        <v>-6</v>
      </c>
      <c r="V20" s="75">
        <v>22</v>
      </c>
      <c r="W20" s="75">
        <v>-1</v>
      </c>
      <c r="X20" s="75">
        <v>1</v>
      </c>
      <c r="Y20" s="75">
        <v>-13</v>
      </c>
      <c r="Z20" s="122">
        <v>-15</v>
      </c>
      <c r="AA20" s="132">
        <f>IF(AND(Z20=0,Y20=0),0,IF(OR(AND(Z20&gt;0,Y20&lt;=0),AND(Z20&lt;0,Y20&gt;=0)),"nm",IF(AND(Z20&lt;0,Y20&lt;0),IF(-(Z20/Y20-1)*100&lt;-100,"(&gt;100)",-(Z20/Y20-1)*100),IF((Z20/Y20-1)*100&gt;100,"&gt;100",(Z20/Y20-1)*100))))</f>
        <v>-15.384615384615374</v>
      </c>
      <c r="AB20" s="139" t="str">
        <f>IF(AND(Z20=0,V20=0),0,IF(OR(AND(Z20&gt;0,V20&lt;=0),AND(Z20&lt;0,V20&gt;=0)),"nm",IF(AND(Z20&lt;0,V20&lt;0),IF(-(Z20/V20-1)*100&lt;-100,"(&gt;100)",-(Z20/V20-1)*100),IF((Z20/V20-1)*100&gt;100,"&gt;100",(Z20/V20-1)*100))))</f>
        <v>nm</v>
      </c>
      <c r="AD20" s="75">
        <v>-18</v>
      </c>
      <c r="AE20" s="122">
        <f>'24.P&amp;L'!J56</f>
        <v>9</v>
      </c>
      <c r="AF20" s="139" t="str">
        <f>IF(AND(AE20=0,AD20=0),0,IF(OR(AND(AE20&gt;0,AD20&lt;=0),AND(AE20&lt;0,AD20&gt;=0)),"nm",IF(AND(AE20&lt;0,AD20&lt;0),IF(-(AE20/AD20-1)*100&lt;-100,"(&gt;100)",-(AE20/AD20-1)*100),IF((AE20/AD20-1)*100&gt;100,"&gt;100",(AE20/AD20-1)*100))))</f>
        <v>nm</v>
      </c>
    </row>
    <row r="21" spans="3:32" ht="14.25">
      <c r="C21" s="20" t="s">
        <v>379</v>
      </c>
      <c r="G21" s="121">
        <v>0</v>
      </c>
      <c r="H21" s="121">
        <v>8</v>
      </c>
      <c r="Q21" s="75">
        <v>0</v>
      </c>
      <c r="R21" s="75">
        <v>0</v>
      </c>
      <c r="S21" s="75">
        <v>0</v>
      </c>
      <c r="T21" s="75">
        <v>0</v>
      </c>
      <c r="U21" s="75">
        <v>0</v>
      </c>
      <c r="V21" s="75">
        <v>0</v>
      </c>
      <c r="W21" s="75">
        <v>-3</v>
      </c>
      <c r="X21" s="75">
        <v>3</v>
      </c>
      <c r="Y21" s="75">
        <v>8</v>
      </c>
      <c r="Z21" s="122">
        <v>3</v>
      </c>
      <c r="AA21" s="132">
        <f>IF(AND(Z21=0,Y21=0),0,IF(OR(AND(Z21&gt;0,Y21&lt;=0),AND(Z21&lt;0,Y21&gt;=0)),"nm",IF(AND(Z21&lt;0,Y21&lt;0),IF(-(Z21/Y21-1)*100&lt;-100,"(&gt;100)",-(Z21/Y21-1)*100),IF((Z21/Y21-1)*100&gt;100,"&gt;100",(Z21/Y21-1)*100))))</f>
        <v>-62.5</v>
      </c>
      <c r="AB21" s="139" t="str">
        <f>IF(AND(Z21=0,V21=0),0,IF(OR(AND(Z21&gt;0,V21&lt;=0),AND(Z21&lt;0,V21&gt;=0)),"nm",IF(AND(Z21&lt;0,V21&lt;0),IF(-(Z21/V21-1)*100&lt;-100,"(&gt;100)",-(Z21/V21-1)*100),IF((Z21/V21-1)*100&gt;100,"&gt;100",(Z21/V21-1)*100))))</f>
        <v>nm</v>
      </c>
      <c r="AD21" s="75">
        <v>0</v>
      </c>
      <c r="AE21" s="122">
        <f>'24.P&amp;L'!J57</f>
        <v>8</v>
      </c>
      <c r="AF21" s="139" t="str">
        <f>IF(AND(AE21=0,AD21=0),0,IF(OR(AND(AE21&gt;0,AD21&lt;=0),AND(AE21&lt;0,AD21&gt;=0)),"nm",IF(AND(AE21&lt;0,AD21&lt;0),IF(-(AE21/AD21-1)*100&lt;-100,"(&gt;100)",-(AE21/AD21-1)*100),IF((AE21/AD21-1)*100&gt;100,"&gt;100",(AE21/AD21-1)*100))))</f>
        <v>nm</v>
      </c>
    </row>
    <row r="22" spans="3:32" ht="14.25">
      <c r="C22" s="22" t="s">
        <v>254</v>
      </c>
      <c r="G22" s="121">
        <v>2</v>
      </c>
      <c r="H22" s="121">
        <v>-2</v>
      </c>
      <c r="Q22" s="75">
        <v>0</v>
      </c>
      <c r="R22" s="75">
        <v>0</v>
      </c>
      <c r="S22" s="75">
        <v>0</v>
      </c>
      <c r="T22" s="75">
        <v>1</v>
      </c>
      <c r="U22" s="75">
        <v>1</v>
      </c>
      <c r="V22" s="75">
        <v>-3</v>
      </c>
      <c r="W22" s="75">
        <v>1</v>
      </c>
      <c r="X22" s="75">
        <v>-1</v>
      </c>
      <c r="Y22" s="75">
        <v>1</v>
      </c>
      <c r="Z22" s="122">
        <v>1</v>
      </c>
      <c r="AA22" s="132">
        <f>IF(AND(Z22=0,Y22=0),0,IF(OR(AND(Z22&gt;0,Y22&lt;=0),AND(Z22&lt;0,Y22&gt;=0)),"nm",IF(AND(Z22&lt;0,Y22&lt;0),IF(-(Z22/Y22-1)*100&lt;-100,"(&gt;100)",-(Z22/Y22-1)*100),IF((Z22/Y22-1)*100&gt;100,"&gt;100",(Z22/Y22-1)*100))))</f>
        <v>0</v>
      </c>
      <c r="AB22" s="139" t="str">
        <f>IF(AND(Z22=0,V22=0),0,IF(OR(AND(Z22&gt;0,V22&lt;=0),AND(Z22&lt;0,V22&gt;=0)),"nm",IF(AND(Z22&lt;0,V22&lt;0),IF(-(Z22/V22-1)*100&lt;-100,"(&gt;100)",-(Z22/V22-1)*100),IF((Z22/V22-1)*100&gt;100,"&gt;100",(Z22/V22-1)*100))))</f>
        <v>nm</v>
      </c>
      <c r="AD22" s="75">
        <v>2</v>
      </c>
      <c r="AE22" s="122">
        <f>'24.P&amp;L'!J58</f>
        <v>-2</v>
      </c>
      <c r="AF22" s="139" t="str">
        <f>IF(AND(AE22=0,AD22=0),0,IF(OR(AND(AE22&gt;0,AD22&lt;=0),AND(AE22&lt;0,AD22&gt;=0)),"nm",IF(AND(AE22&lt;0,AD22&lt;0),IF(-(AE22/AD22-1)*100&lt;-100,"(&gt;100)",-(AE22/AD22-1)*100),IF((AE22/AD22-1)*100&gt;100,"&gt;100",(AE22/AD22-1)*100))))</f>
        <v>nm</v>
      </c>
    </row>
    <row r="23" spans="2:32" ht="15">
      <c r="B23" s="18" t="s">
        <v>362</v>
      </c>
      <c r="C23" s="18"/>
      <c r="G23" s="17">
        <v>-16</v>
      </c>
      <c r="H23" s="17">
        <v>-1</v>
      </c>
      <c r="Q23" s="75">
        <v>0</v>
      </c>
      <c r="R23" s="75">
        <v>0</v>
      </c>
      <c r="S23" s="75">
        <v>0</v>
      </c>
      <c r="T23" s="75">
        <v>-11</v>
      </c>
      <c r="U23" s="75">
        <v>-16</v>
      </c>
      <c r="V23" s="75">
        <v>3</v>
      </c>
      <c r="W23" s="75">
        <v>0</v>
      </c>
      <c r="X23" s="75">
        <v>3</v>
      </c>
      <c r="Y23" s="75">
        <v>-1</v>
      </c>
      <c r="Z23" s="125">
        <f>SUM(Z19:Z22)</f>
        <v>-12</v>
      </c>
      <c r="AA23" s="133" t="str">
        <f>IF(AND(Z23=0,Y23=0),0,IF(OR(AND(Z23&gt;0,Y23&lt;=0),AND(Z23&lt;0,Y23&gt;=0)),"nm",IF(AND(Z23&lt;0,Y23&lt;0),IF(-(Z23/Y23-1)*100&lt;-100,"(&gt;100)",-(Z23/Y23-1)*100),IF((Z23/Y23-1)*100&gt;100,"&gt;100",(Z23/Y23-1)*100))))</f>
        <v>(&gt;100)</v>
      </c>
      <c r="AB23" s="133" t="str">
        <f>IF(AND(Z23=0,V23=0),0,IF(OR(AND(Z23&gt;0,V23&lt;=0),AND(Z23&lt;0,V23&gt;=0)),"nm",IF(AND(Z23&lt;0,V23&lt;0),IF(-(Z23/V23-1)*100&lt;-100,"(&gt;100)",-(Z23/V23-1)*100),IF((Z23/V23-1)*100&gt;100,"&gt;100",(Z23/V23-1)*100))))</f>
        <v>nm</v>
      </c>
      <c r="AD23" s="17">
        <v>-16</v>
      </c>
      <c r="AE23" s="125">
        <f>SUM(AE19:AE22)</f>
        <v>-1</v>
      </c>
      <c r="AF23" s="139">
        <f>IF(AND(AE23=0,AD23=0),0,IF(OR(AND(AE23&gt;0,AD23&lt;=0),AND(AE23&lt;0,AD23&gt;=0)),"nm",IF(AND(AE23&lt;0,AD23&lt;0),IF(-(AE23/AD23-1)*100&lt;-100,"(&gt;100)",-(AE23/AD23-1)*100),IF((AE23/AD23-1)*100&gt;100,"&gt;100",(AE23/AD23-1)*100))))</f>
        <v>93.75</v>
      </c>
    </row>
    <row r="24" spans="26:31" ht="14.25">
      <c r="Z24" s="364"/>
      <c r="AE24" s="122"/>
    </row>
    <row r="25" spans="26:31" ht="14.25">
      <c r="Z25" s="364"/>
      <c r="AE25" s="364"/>
    </row>
    <row r="26" spans="26:31" ht="14.25">
      <c r="Z26" s="364"/>
      <c r="AE26" s="364"/>
    </row>
    <row r="27" spans="26:31" ht="14.25">
      <c r="Z27" s="364"/>
      <c r="AE27" s="364"/>
    </row>
    <row r="28" ht="14.25">
      <c r="Z28" s="364"/>
    </row>
    <row r="29" ht="14.25">
      <c r="Z29" s="364"/>
    </row>
    <row r="30" ht="14.25">
      <c r="Z30" s="364"/>
    </row>
    <row r="31" ht="14.25">
      <c r="Z31" s="364"/>
    </row>
  </sheetData>
  <sheetProtection/>
  <mergeCells count="1">
    <mergeCell ref="A2:C2"/>
  </mergeCells>
  <hyperlinks>
    <hyperlink ref="A2" location="Index!A1" display="Back to Index"/>
  </hyperlinks>
  <printOptions/>
  <pageMargins left="0.75" right="0.75" top="1" bottom="1" header="0.5" footer="0.5"/>
  <pageSetup fitToHeight="1"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DBS Financial Data Supplement</dc:title>
  <dc:subject/>
  <dc:creator>Joyce Kor</dc:creator>
  <cp:keywords/>
  <dc:description/>
  <cp:lastModifiedBy>wangnyap</cp:lastModifiedBy>
  <cp:lastPrinted>2013-04-19T01:09:43Z</cp:lastPrinted>
  <dcterms:created xsi:type="dcterms:W3CDTF">2009-09-01T03:31:48Z</dcterms:created>
  <dcterms:modified xsi:type="dcterms:W3CDTF">2013-04-30T10:59:02Z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